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checkCompatibility="1"/>
  <mc:AlternateContent xmlns:mc="http://schemas.openxmlformats.org/markup-compatibility/2006">
    <mc:Choice Requires="x15">
      <x15ac:absPath xmlns:x15ac="http://schemas.microsoft.com/office/spreadsheetml/2010/11/ac" url="/Users/jenniferwalsh/Desktop/March 2019 Board Meeting/"/>
    </mc:Choice>
  </mc:AlternateContent>
  <bookViews>
    <workbookView xWindow="0" yWindow="460" windowWidth="28800" windowHeight="16440"/>
  </bookViews>
  <sheets>
    <sheet name="ATA Budget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5" i="1" l="1"/>
  <c r="V72" i="1"/>
  <c r="X13" i="1"/>
  <c r="X18" i="1"/>
  <c r="X27" i="1"/>
  <c r="X31" i="1"/>
  <c r="X72" i="1"/>
  <c r="X37" i="1"/>
  <c r="X65" i="1"/>
  <c r="X78" i="1"/>
  <c r="X83" i="1"/>
  <c r="X84" i="1"/>
  <c r="W78" i="1"/>
  <c r="W37" i="1"/>
  <c r="W65" i="1"/>
  <c r="W72" i="1"/>
  <c r="W83" i="1"/>
  <c r="W18" i="1"/>
  <c r="W13" i="1"/>
  <c r="V37" i="1"/>
  <c r="V65" i="1"/>
  <c r="V78" i="1"/>
  <c r="V83" i="1"/>
  <c r="V13" i="1"/>
  <c r="V18" i="1"/>
  <c r="V27" i="1"/>
  <c r="V30" i="1"/>
  <c r="V31" i="1"/>
  <c r="V84" i="1"/>
  <c r="T37" i="1"/>
  <c r="S37" i="1"/>
  <c r="R37" i="1"/>
  <c r="W27" i="1"/>
  <c r="W30" i="1"/>
  <c r="W31" i="1"/>
  <c r="W66" i="1"/>
  <c r="T13" i="1"/>
  <c r="T18" i="1"/>
  <c r="T27" i="1"/>
  <c r="T30" i="1"/>
  <c r="T31" i="1"/>
  <c r="T65" i="1"/>
  <c r="C67" i="1"/>
  <c r="G67" i="1"/>
  <c r="K67" i="1"/>
  <c r="O67" i="1"/>
  <c r="T67" i="1"/>
  <c r="T72" i="1"/>
  <c r="T78" i="1"/>
  <c r="T83" i="1"/>
  <c r="T84" i="1"/>
  <c r="U5" i="1"/>
  <c r="U13" i="1"/>
  <c r="U18" i="1"/>
  <c r="U27" i="1"/>
  <c r="U30" i="1"/>
  <c r="U31" i="1"/>
  <c r="U37" i="1"/>
  <c r="U65" i="1"/>
  <c r="D67" i="1"/>
  <c r="H67" i="1"/>
  <c r="L67" i="1"/>
  <c r="P67" i="1"/>
  <c r="U67" i="1"/>
  <c r="U72" i="1"/>
  <c r="U78" i="1"/>
  <c r="U83" i="1"/>
  <c r="U84" i="1"/>
  <c r="C68" i="1"/>
  <c r="G68" i="1"/>
  <c r="K68" i="1"/>
  <c r="O68" i="1"/>
  <c r="B68" i="1"/>
  <c r="E68" i="1"/>
  <c r="F68" i="1"/>
  <c r="I68" i="1"/>
  <c r="J68" i="1"/>
  <c r="M68" i="1"/>
  <c r="N68" i="1"/>
  <c r="Q68" i="1"/>
  <c r="S13" i="1"/>
  <c r="R13" i="1"/>
  <c r="D5" i="1"/>
  <c r="E5" i="1"/>
  <c r="H5" i="1"/>
  <c r="I5" i="1"/>
  <c r="L5" i="1"/>
  <c r="M5" i="1"/>
  <c r="P5" i="1"/>
  <c r="Q5" i="1"/>
  <c r="C6" i="1"/>
  <c r="D6" i="1"/>
  <c r="F6" i="1"/>
  <c r="G6" i="1"/>
  <c r="J6" i="1"/>
  <c r="K6" i="1"/>
  <c r="N6" i="1"/>
  <c r="O6" i="1"/>
  <c r="C7" i="1"/>
  <c r="D7" i="1"/>
  <c r="G7" i="1"/>
  <c r="H7" i="1"/>
  <c r="K7" i="1"/>
  <c r="L7" i="1"/>
  <c r="O7" i="1"/>
  <c r="P7" i="1"/>
  <c r="C8" i="1"/>
  <c r="D8" i="1"/>
  <c r="G8" i="1"/>
  <c r="H8" i="1"/>
  <c r="K8" i="1"/>
  <c r="L8" i="1"/>
  <c r="N8" i="1"/>
  <c r="O8" i="1"/>
  <c r="B9" i="1"/>
  <c r="C9" i="1"/>
  <c r="F9" i="1"/>
  <c r="G9" i="1"/>
  <c r="J9" i="1"/>
  <c r="K9" i="1"/>
  <c r="N9" i="1"/>
  <c r="O9" i="1"/>
  <c r="B10" i="1"/>
  <c r="C10" i="1"/>
  <c r="F10" i="1"/>
  <c r="G10" i="1"/>
  <c r="J10" i="1"/>
  <c r="K10" i="1"/>
  <c r="N10" i="1"/>
  <c r="O10" i="1"/>
  <c r="C11" i="1"/>
  <c r="D11" i="1"/>
  <c r="G11" i="1"/>
  <c r="H11" i="1"/>
  <c r="K11" i="1"/>
  <c r="L11" i="1"/>
  <c r="O11" i="1"/>
  <c r="P11" i="1"/>
  <c r="B12" i="1"/>
  <c r="C12" i="1"/>
  <c r="G12" i="1"/>
  <c r="H12" i="1"/>
  <c r="K12" i="1"/>
  <c r="L12" i="1"/>
  <c r="O12" i="1"/>
  <c r="P12" i="1"/>
  <c r="B14" i="1"/>
  <c r="C14" i="1"/>
  <c r="F14" i="1"/>
  <c r="G14" i="1"/>
  <c r="J14" i="1"/>
  <c r="K14" i="1"/>
  <c r="N14" i="1"/>
  <c r="O14" i="1"/>
  <c r="D15" i="1"/>
  <c r="E15" i="1"/>
  <c r="H15" i="1"/>
  <c r="I15" i="1"/>
  <c r="L15" i="1"/>
  <c r="M15" i="1"/>
  <c r="P15" i="1"/>
  <c r="Q15" i="1"/>
  <c r="C16" i="1"/>
  <c r="D16" i="1"/>
  <c r="G16" i="1"/>
  <c r="H16" i="1"/>
  <c r="K16" i="1"/>
  <c r="L16" i="1"/>
  <c r="O16" i="1"/>
  <c r="P16" i="1"/>
  <c r="B17" i="1"/>
  <c r="C17" i="1"/>
  <c r="F17" i="1"/>
  <c r="G17" i="1"/>
  <c r="J17" i="1"/>
  <c r="K17" i="1"/>
  <c r="N17" i="1"/>
  <c r="O17" i="1"/>
  <c r="R18" i="1"/>
  <c r="S18" i="1"/>
  <c r="C19" i="1"/>
  <c r="D19" i="1"/>
  <c r="G19" i="1"/>
  <c r="H19" i="1"/>
  <c r="K19" i="1"/>
  <c r="L19" i="1"/>
  <c r="O19" i="1"/>
  <c r="P19" i="1"/>
  <c r="C22" i="1"/>
  <c r="D22" i="1"/>
  <c r="G22" i="1"/>
  <c r="H22" i="1"/>
  <c r="K22" i="1"/>
  <c r="L22" i="1"/>
  <c r="N22" i="1"/>
  <c r="O22" i="1"/>
  <c r="C23" i="1"/>
  <c r="D23" i="1"/>
  <c r="G23" i="1"/>
  <c r="H23" i="1"/>
  <c r="K23" i="1"/>
  <c r="L23" i="1"/>
  <c r="O23" i="1"/>
  <c r="P23" i="1"/>
  <c r="B25" i="1"/>
  <c r="C25" i="1"/>
  <c r="F25" i="1"/>
  <c r="G25" i="1"/>
  <c r="J25" i="1"/>
  <c r="K25" i="1"/>
  <c r="N25" i="1"/>
  <c r="O25" i="1"/>
  <c r="C26" i="1"/>
  <c r="D26" i="1"/>
  <c r="F26" i="1"/>
  <c r="G26" i="1"/>
  <c r="K26" i="1"/>
  <c r="L26" i="1"/>
  <c r="O26" i="1"/>
  <c r="P26" i="1"/>
  <c r="B29" i="1"/>
  <c r="C29" i="1"/>
  <c r="F29" i="1"/>
  <c r="G29" i="1"/>
  <c r="J29" i="1"/>
  <c r="K29" i="1"/>
  <c r="O29" i="1"/>
  <c r="P29" i="1"/>
  <c r="G30" i="1"/>
  <c r="N30" i="1"/>
  <c r="R30" i="1"/>
  <c r="S30" i="1"/>
  <c r="C33" i="1"/>
  <c r="D33" i="1"/>
  <c r="G33" i="1"/>
  <c r="H33" i="1"/>
  <c r="K33" i="1"/>
  <c r="L33" i="1"/>
  <c r="O33" i="1"/>
  <c r="P33" i="1"/>
  <c r="B34" i="1"/>
  <c r="C34" i="1"/>
  <c r="F34" i="1"/>
  <c r="G34" i="1"/>
  <c r="J34" i="1"/>
  <c r="K34" i="1"/>
  <c r="N34" i="1"/>
  <c r="O34" i="1"/>
  <c r="B35" i="1"/>
  <c r="C35" i="1"/>
  <c r="F35" i="1"/>
  <c r="G35" i="1"/>
  <c r="J35" i="1"/>
  <c r="K35" i="1"/>
  <c r="N35" i="1"/>
  <c r="O35" i="1"/>
  <c r="B38" i="1"/>
  <c r="C38" i="1"/>
  <c r="F38" i="1"/>
  <c r="G38" i="1"/>
  <c r="J38" i="1"/>
  <c r="K38" i="1"/>
  <c r="N38" i="1"/>
  <c r="O38" i="1"/>
  <c r="C39" i="1"/>
  <c r="G39" i="1"/>
  <c r="H39" i="1"/>
  <c r="K39" i="1"/>
  <c r="L39" i="1"/>
  <c r="O39" i="1"/>
  <c r="P39" i="1"/>
  <c r="C40" i="1"/>
  <c r="F40" i="1"/>
  <c r="G40" i="1"/>
  <c r="J40" i="1"/>
  <c r="K40" i="1"/>
  <c r="N40" i="1"/>
  <c r="O40" i="1"/>
  <c r="Q40" i="1"/>
  <c r="B41" i="1"/>
  <c r="C41" i="1"/>
  <c r="G41" i="1"/>
  <c r="H41" i="1"/>
  <c r="J41" i="1"/>
  <c r="K41" i="1"/>
  <c r="N41" i="1"/>
  <c r="O41" i="1"/>
  <c r="B42" i="1"/>
  <c r="C42" i="1"/>
  <c r="F42" i="1"/>
  <c r="G42" i="1"/>
  <c r="J42" i="1"/>
  <c r="K42" i="1"/>
  <c r="N42" i="1"/>
  <c r="O42" i="1"/>
  <c r="B43" i="1"/>
  <c r="C43" i="1"/>
  <c r="F43" i="1"/>
  <c r="G43" i="1"/>
  <c r="J43" i="1"/>
  <c r="K43" i="1"/>
  <c r="N43" i="1"/>
  <c r="O43" i="1"/>
  <c r="B44" i="1"/>
  <c r="C44" i="1"/>
  <c r="G44" i="1"/>
  <c r="H44" i="1"/>
  <c r="K44" i="1"/>
  <c r="L44" i="1"/>
  <c r="O44" i="1"/>
  <c r="P44" i="1"/>
  <c r="C45" i="1"/>
  <c r="D45" i="1"/>
  <c r="G45" i="1"/>
  <c r="H45" i="1"/>
  <c r="K45" i="1"/>
  <c r="L45" i="1"/>
  <c r="O45" i="1"/>
  <c r="P45" i="1"/>
  <c r="B49" i="1"/>
  <c r="C49" i="1"/>
  <c r="F49" i="1"/>
  <c r="G49" i="1"/>
  <c r="J49" i="1"/>
  <c r="K49" i="1"/>
  <c r="N49" i="1"/>
  <c r="O49" i="1"/>
  <c r="B50" i="1"/>
  <c r="C50" i="1"/>
  <c r="F50" i="1"/>
  <c r="G50" i="1"/>
  <c r="J50" i="1"/>
  <c r="K50" i="1"/>
  <c r="N50" i="1"/>
  <c r="O50" i="1"/>
  <c r="B51" i="1"/>
  <c r="C51" i="1"/>
  <c r="G51" i="1"/>
  <c r="H51" i="1"/>
  <c r="K51" i="1"/>
  <c r="L51" i="1"/>
  <c r="O51" i="1"/>
  <c r="P51" i="1"/>
  <c r="B53" i="1"/>
  <c r="C53" i="1"/>
  <c r="G53" i="1"/>
  <c r="H53" i="1"/>
  <c r="K53" i="1"/>
  <c r="L53" i="1"/>
  <c r="O53" i="1"/>
  <c r="P53" i="1"/>
  <c r="B55" i="1"/>
  <c r="C55" i="1"/>
  <c r="F55" i="1"/>
  <c r="G55" i="1"/>
  <c r="J55" i="1"/>
  <c r="K55" i="1"/>
  <c r="N55" i="1"/>
  <c r="O55" i="1"/>
  <c r="B56" i="1"/>
  <c r="C56" i="1"/>
  <c r="F56" i="1"/>
  <c r="G56" i="1"/>
  <c r="J56" i="1"/>
  <c r="K56" i="1"/>
  <c r="O56" i="1"/>
  <c r="P56" i="1"/>
  <c r="C57" i="1"/>
  <c r="D57" i="1"/>
  <c r="G57" i="1"/>
  <c r="H57" i="1"/>
  <c r="J57" i="1"/>
  <c r="K57" i="1"/>
  <c r="N57" i="1"/>
  <c r="O57" i="1"/>
  <c r="D58" i="1"/>
  <c r="E58" i="1"/>
  <c r="H58" i="1"/>
  <c r="I58" i="1"/>
  <c r="L58" i="1"/>
  <c r="M58" i="1"/>
  <c r="P58" i="1"/>
  <c r="Q58" i="1"/>
  <c r="B59" i="1"/>
  <c r="C59" i="1"/>
  <c r="F59" i="1"/>
  <c r="G59" i="1"/>
  <c r="J59" i="1"/>
  <c r="K59" i="1"/>
  <c r="O59" i="1"/>
  <c r="P59" i="1"/>
  <c r="C60" i="1"/>
  <c r="D60" i="1"/>
  <c r="G60" i="1"/>
  <c r="H60" i="1"/>
  <c r="K60" i="1"/>
  <c r="L60" i="1"/>
  <c r="O60" i="1"/>
  <c r="P60" i="1"/>
  <c r="B61" i="1"/>
  <c r="C61" i="1"/>
  <c r="G61" i="1"/>
  <c r="H61" i="1"/>
  <c r="J61" i="1"/>
  <c r="K61" i="1"/>
  <c r="O61" i="1"/>
  <c r="P61" i="1"/>
  <c r="C62" i="1"/>
  <c r="D62" i="1"/>
  <c r="G62" i="1"/>
  <c r="H62" i="1"/>
  <c r="K62" i="1"/>
  <c r="L62" i="1"/>
  <c r="O62" i="1"/>
  <c r="P62" i="1"/>
  <c r="C63" i="1"/>
  <c r="D63" i="1"/>
  <c r="F63" i="1"/>
  <c r="G63" i="1"/>
  <c r="K63" i="1"/>
  <c r="L63" i="1"/>
  <c r="O63" i="1"/>
  <c r="P63" i="1"/>
  <c r="C64" i="1"/>
  <c r="G64" i="1"/>
  <c r="K64" i="1"/>
  <c r="L64" i="1"/>
  <c r="O64" i="1"/>
  <c r="P64" i="1"/>
  <c r="N65" i="1"/>
  <c r="R65" i="1"/>
  <c r="S65" i="1"/>
  <c r="D66" i="1"/>
  <c r="E66" i="1"/>
  <c r="H66" i="1"/>
  <c r="I66" i="1"/>
  <c r="J66" i="1"/>
  <c r="L66" i="1"/>
  <c r="M66" i="1"/>
  <c r="P66" i="1"/>
  <c r="Q66" i="1"/>
  <c r="S67" i="1"/>
  <c r="B72" i="1"/>
  <c r="F72" i="1"/>
  <c r="C69" i="1"/>
  <c r="D69" i="1"/>
  <c r="G69" i="1"/>
  <c r="H69" i="1"/>
  <c r="J69" i="1"/>
  <c r="K69" i="1"/>
  <c r="N69" i="1"/>
  <c r="O69" i="1"/>
  <c r="N72" i="1"/>
  <c r="R72" i="1"/>
  <c r="D73" i="1"/>
  <c r="E73" i="1"/>
  <c r="H73" i="1"/>
  <c r="I73" i="1"/>
  <c r="L73" i="1"/>
  <c r="M73" i="1"/>
  <c r="P73" i="1"/>
  <c r="Q73" i="1"/>
  <c r="B74" i="1"/>
  <c r="C74" i="1"/>
  <c r="F74" i="1"/>
  <c r="F78" i="1"/>
  <c r="G74" i="1"/>
  <c r="J74" i="1"/>
  <c r="K74" i="1"/>
  <c r="N74" i="1"/>
  <c r="N78" i="1"/>
  <c r="O74" i="1"/>
  <c r="B76" i="1"/>
  <c r="D76" i="1"/>
  <c r="E76" i="1"/>
  <c r="H76" i="1"/>
  <c r="I76" i="1"/>
  <c r="L76" i="1"/>
  <c r="M76" i="1"/>
  <c r="P76" i="1"/>
  <c r="Q76" i="1"/>
  <c r="C77" i="1"/>
  <c r="E77" i="1"/>
  <c r="G77" i="1"/>
  <c r="H77" i="1"/>
  <c r="K77" i="1"/>
  <c r="M77" i="1"/>
  <c r="O77" i="1"/>
  <c r="P77" i="1"/>
  <c r="Q77" i="1"/>
  <c r="R78" i="1"/>
  <c r="S78" i="1"/>
  <c r="B79" i="1"/>
  <c r="C79" i="1"/>
  <c r="F79" i="1"/>
  <c r="G79" i="1"/>
  <c r="J79" i="1"/>
  <c r="K79" i="1"/>
  <c r="N79" i="1"/>
  <c r="O79" i="1"/>
  <c r="C80" i="1"/>
  <c r="D80" i="1"/>
  <c r="G80" i="1"/>
  <c r="H80" i="1"/>
  <c r="J80" i="1"/>
  <c r="K80" i="1"/>
  <c r="O80" i="1"/>
  <c r="P80" i="1"/>
  <c r="B81" i="1"/>
  <c r="C81" i="1"/>
  <c r="G81" i="1"/>
  <c r="H81" i="1"/>
  <c r="K81" i="1"/>
  <c r="N81" i="1"/>
  <c r="O81" i="1"/>
  <c r="B82" i="1"/>
  <c r="C82" i="1"/>
  <c r="F82" i="1"/>
  <c r="G82" i="1"/>
  <c r="J82" i="1"/>
  <c r="K82" i="1"/>
  <c r="N82" i="1"/>
  <c r="O82" i="1"/>
  <c r="L25" i="1"/>
  <c r="E22" i="1"/>
  <c r="E80" i="1"/>
  <c r="Q79" i="1"/>
  <c r="I77" i="1"/>
  <c r="Q61" i="1"/>
  <c r="H82" i="1"/>
  <c r="D81" i="1"/>
  <c r="Q80" i="1"/>
  <c r="M69" i="1"/>
  <c r="I60" i="1"/>
  <c r="I59" i="1"/>
  <c r="H43" i="1"/>
  <c r="H42" i="1"/>
  <c r="P41" i="1"/>
  <c r="L41" i="1"/>
  <c r="I41" i="1"/>
  <c r="Q39" i="1"/>
  <c r="Q7" i="1"/>
  <c r="L74" i="1"/>
  <c r="Q62" i="1"/>
  <c r="J65" i="1"/>
  <c r="D61" i="1"/>
  <c r="Q60" i="1"/>
  <c r="E60" i="1"/>
  <c r="Q59" i="1"/>
  <c r="L59" i="1"/>
  <c r="M55" i="1"/>
  <c r="Q49" i="1"/>
  <c r="E35" i="1"/>
  <c r="M26" i="1"/>
  <c r="I26" i="1"/>
  <c r="M11" i="1"/>
  <c r="M10" i="1"/>
  <c r="M9" i="1"/>
  <c r="E9" i="1"/>
  <c r="P8" i="1"/>
  <c r="M8" i="1"/>
  <c r="I8" i="1"/>
  <c r="M7" i="1"/>
  <c r="I7" i="1"/>
  <c r="N13" i="1"/>
  <c r="F13" i="1"/>
  <c r="P69" i="1"/>
  <c r="I67" i="1"/>
  <c r="R83" i="1"/>
  <c r="C65" i="1"/>
  <c r="M64" i="1"/>
  <c r="M62" i="1"/>
  <c r="I62" i="1"/>
  <c r="D53" i="1"/>
  <c r="Q51" i="1"/>
  <c r="Q50" i="1"/>
  <c r="I50" i="1"/>
  <c r="D50" i="1"/>
  <c r="E45" i="1"/>
  <c r="D38" i="1"/>
  <c r="M35" i="1"/>
  <c r="H35" i="1"/>
  <c r="L29" i="1"/>
  <c r="D29" i="1"/>
  <c r="P25" i="1"/>
  <c r="M25" i="1"/>
  <c r="Q14" i="1"/>
  <c r="I14" i="1"/>
  <c r="D14" i="1"/>
  <c r="F65" i="1"/>
  <c r="Q56" i="1"/>
  <c r="M56" i="1"/>
  <c r="E56" i="1"/>
  <c r="P55" i="1"/>
  <c r="M53" i="1"/>
  <c r="P43" i="1"/>
  <c r="L43" i="1"/>
  <c r="I43" i="1"/>
  <c r="L38" i="1"/>
  <c r="H38" i="1"/>
  <c r="E38" i="1"/>
  <c r="D34" i="1"/>
  <c r="P22" i="1"/>
  <c r="M22" i="1"/>
  <c r="Q19" i="1"/>
  <c r="L17" i="1"/>
  <c r="D17" i="1"/>
  <c r="Q16" i="1"/>
  <c r="I12" i="1"/>
  <c r="E12" i="1"/>
  <c r="I11" i="1"/>
  <c r="E11" i="1"/>
  <c r="P10" i="1"/>
  <c r="M61" i="1"/>
  <c r="L82" i="1"/>
  <c r="I82" i="1"/>
  <c r="D74" i="1"/>
  <c r="L68" i="1"/>
  <c r="Q67" i="1"/>
  <c r="E67" i="1"/>
  <c r="O65" i="1"/>
  <c r="P65" i="1"/>
  <c r="P57" i="1"/>
  <c r="L57" i="1"/>
  <c r="I57" i="1"/>
  <c r="E55" i="1"/>
  <c r="I53" i="1"/>
  <c r="E53" i="1"/>
  <c r="M51" i="1"/>
  <c r="I51" i="1"/>
  <c r="D51" i="1"/>
  <c r="I49" i="1"/>
  <c r="D49" i="1"/>
  <c r="Q45" i="1"/>
  <c r="M45" i="1"/>
  <c r="Q44" i="1"/>
  <c r="M44" i="1"/>
  <c r="P42" i="1"/>
  <c r="L42" i="1"/>
  <c r="I42" i="1"/>
  <c r="I40" i="1"/>
  <c r="M39" i="1"/>
  <c r="I39" i="1"/>
  <c r="C37" i="1"/>
  <c r="L34" i="1"/>
  <c r="H34" i="1"/>
  <c r="E34" i="1"/>
  <c r="E33" i="1"/>
  <c r="O30" i="1"/>
  <c r="Q30" i="1"/>
  <c r="K30" i="1"/>
  <c r="Q29" i="1"/>
  <c r="D25" i="1"/>
  <c r="Q23" i="1"/>
  <c r="K18" i="1"/>
  <c r="P17" i="1"/>
  <c r="M17" i="1"/>
  <c r="B13" i="1"/>
  <c r="E10" i="1"/>
  <c r="P9" i="1"/>
  <c r="J13" i="1"/>
  <c r="L6" i="1"/>
  <c r="H6" i="1"/>
  <c r="E6" i="1"/>
  <c r="L81" i="1"/>
  <c r="M81" i="1"/>
  <c r="E69" i="1"/>
  <c r="D64" i="1"/>
  <c r="E64" i="1"/>
  <c r="M63" i="1"/>
  <c r="I63" i="1"/>
  <c r="G65" i="1"/>
  <c r="H64" i="1"/>
  <c r="I64" i="1"/>
  <c r="Q82" i="1"/>
  <c r="D82" i="1"/>
  <c r="D79" i="1"/>
  <c r="E74" i="1"/>
  <c r="D68" i="1"/>
  <c r="D59" i="1"/>
  <c r="Q57" i="1"/>
  <c r="H56" i="1"/>
  <c r="H55" i="1"/>
  <c r="L50" i="1"/>
  <c r="L49" i="1"/>
  <c r="D44" i="1"/>
  <c r="Q43" i="1"/>
  <c r="D43" i="1"/>
  <c r="Q42" i="1"/>
  <c r="D42" i="1"/>
  <c r="Q41" i="1"/>
  <c r="P38" i="1"/>
  <c r="M38" i="1"/>
  <c r="K37" i="1"/>
  <c r="P34" i="1"/>
  <c r="M34" i="1"/>
  <c r="Q33" i="1"/>
  <c r="M33" i="1"/>
  <c r="C30" i="1"/>
  <c r="H29" i="1"/>
  <c r="H25" i="1"/>
  <c r="E25" i="1"/>
  <c r="M23" i="1"/>
  <c r="I23" i="1"/>
  <c r="M19" i="1"/>
  <c r="I19" i="1"/>
  <c r="C18" i="1"/>
  <c r="H17" i="1"/>
  <c r="E17" i="1"/>
  <c r="M16" i="1"/>
  <c r="I16" i="1"/>
  <c r="L14" i="1"/>
  <c r="O13" i="1"/>
  <c r="G13" i="1"/>
  <c r="H13" i="1"/>
  <c r="Q12" i="1"/>
  <c r="H10" i="1"/>
  <c r="H9" i="1"/>
  <c r="P6" i="1"/>
  <c r="M6" i="1"/>
  <c r="M82" i="1"/>
  <c r="E82" i="1"/>
  <c r="Q81" i="1"/>
  <c r="I81" i="1"/>
  <c r="E81" i="1"/>
  <c r="L80" i="1"/>
  <c r="M80" i="1"/>
  <c r="H74" i="1"/>
  <c r="G78" i="1"/>
  <c r="H78" i="1"/>
  <c r="H79" i="1"/>
  <c r="I79" i="1"/>
  <c r="P74" i="1"/>
  <c r="O78" i="1"/>
  <c r="P78" i="1"/>
  <c r="M74" i="1"/>
  <c r="J78" i="1"/>
  <c r="H65" i="1"/>
  <c r="D41" i="1"/>
  <c r="E41" i="1"/>
  <c r="D40" i="1"/>
  <c r="E40" i="1"/>
  <c r="D39" i="1"/>
  <c r="E39" i="1"/>
  <c r="P79" i="1"/>
  <c r="L79" i="1"/>
  <c r="Q74" i="1"/>
  <c r="I74" i="1"/>
  <c r="J72" i="1"/>
  <c r="Q69" i="1"/>
  <c r="L69" i="1"/>
  <c r="I69" i="1"/>
  <c r="P68" i="1"/>
  <c r="H68" i="1"/>
  <c r="M67" i="1"/>
  <c r="Q65" i="1"/>
  <c r="K65" i="1"/>
  <c r="I65" i="1"/>
  <c r="Q64" i="1"/>
  <c r="Q63" i="1"/>
  <c r="H63" i="1"/>
  <c r="E63" i="1"/>
  <c r="E62" i="1"/>
  <c r="L61" i="1"/>
  <c r="I61" i="1"/>
  <c r="E61" i="1"/>
  <c r="M60" i="1"/>
  <c r="M59" i="1"/>
  <c r="H59" i="1"/>
  <c r="E59" i="1"/>
  <c r="M57" i="1"/>
  <c r="E57" i="1"/>
  <c r="L56" i="1"/>
  <c r="I56" i="1"/>
  <c r="D56" i="1"/>
  <c r="Q55" i="1"/>
  <c r="L55" i="1"/>
  <c r="I55" i="1"/>
  <c r="D55" i="1"/>
  <c r="Q53" i="1"/>
  <c r="E51" i="1"/>
  <c r="P50" i="1"/>
  <c r="M50" i="1"/>
  <c r="H50" i="1"/>
  <c r="E50" i="1"/>
  <c r="P49" i="1"/>
  <c r="M49" i="1"/>
  <c r="H49" i="1"/>
  <c r="E49" i="1"/>
  <c r="I45" i="1"/>
  <c r="I44" i="1"/>
  <c r="E44" i="1"/>
  <c r="M43" i="1"/>
  <c r="E43" i="1"/>
  <c r="M42" i="1"/>
  <c r="E42" i="1"/>
  <c r="L40" i="1"/>
  <c r="M40" i="1"/>
  <c r="P35" i="1"/>
  <c r="Q35" i="1"/>
  <c r="M41" i="1"/>
  <c r="P40" i="1"/>
  <c r="H40" i="1"/>
  <c r="Q38" i="1"/>
  <c r="I38" i="1"/>
  <c r="O37" i="1"/>
  <c r="G37" i="1"/>
  <c r="L35" i="1"/>
  <c r="I35" i="1"/>
  <c r="D35" i="1"/>
  <c r="Q34" i="1"/>
  <c r="I34" i="1"/>
  <c r="I33" i="1"/>
  <c r="P30" i="1"/>
  <c r="Q26" i="1"/>
  <c r="H26" i="1"/>
  <c r="E26" i="1"/>
  <c r="Q25" i="1"/>
  <c r="I25" i="1"/>
  <c r="E23" i="1"/>
  <c r="Q22" i="1"/>
  <c r="I22" i="1"/>
  <c r="E19" i="1"/>
  <c r="O18" i="1"/>
  <c r="G18" i="1"/>
  <c r="Q17" i="1"/>
  <c r="I17" i="1"/>
  <c r="E16" i="1"/>
  <c r="P14" i="1"/>
  <c r="M14" i="1"/>
  <c r="H14" i="1"/>
  <c r="E14" i="1"/>
  <c r="M12" i="1"/>
  <c r="D12" i="1"/>
  <c r="Q11" i="1"/>
  <c r="Q10" i="1"/>
  <c r="L10" i="1"/>
  <c r="I10" i="1"/>
  <c r="D10" i="1"/>
  <c r="Q9" i="1"/>
  <c r="L9" i="1"/>
  <c r="I9" i="1"/>
  <c r="D9" i="1"/>
  <c r="Q8" i="1"/>
  <c r="E8" i="1"/>
  <c r="E7" i="1"/>
  <c r="Q6" i="1"/>
  <c r="I6" i="1"/>
  <c r="R27" i="1"/>
  <c r="R31" i="1"/>
  <c r="R84" i="1"/>
  <c r="S27" i="1"/>
  <c r="I80" i="1"/>
  <c r="M79" i="1"/>
  <c r="E79" i="1"/>
  <c r="B78" i="1"/>
  <c r="D77" i="1"/>
  <c r="C78" i="1"/>
  <c r="E78" i="1"/>
  <c r="P82" i="1"/>
  <c r="P81" i="1"/>
  <c r="L77" i="1"/>
  <c r="K78" i="1"/>
  <c r="S72" i="1"/>
  <c r="O72" i="1"/>
  <c r="K72" i="1"/>
  <c r="G72" i="1"/>
  <c r="C72" i="1"/>
  <c r="B65" i="1"/>
  <c r="N37" i="1"/>
  <c r="J37" i="1"/>
  <c r="F37" i="1"/>
  <c r="B37" i="1"/>
  <c r="I29" i="1"/>
  <c r="F30" i="1"/>
  <c r="M29" i="1"/>
  <c r="J30" i="1"/>
  <c r="E29" i="1"/>
  <c r="B30" i="1"/>
  <c r="N18" i="1"/>
  <c r="J18" i="1"/>
  <c r="F18" i="1"/>
  <c r="B18" i="1"/>
  <c r="K13" i="1"/>
  <c r="C13" i="1"/>
  <c r="G27" i="1"/>
  <c r="G31" i="1"/>
  <c r="P13" i="1"/>
  <c r="M78" i="1"/>
  <c r="O27" i="1"/>
  <c r="O31" i="1"/>
  <c r="S31" i="1"/>
  <c r="I78" i="1"/>
  <c r="I13" i="1"/>
  <c r="Q13" i="1"/>
  <c r="L65" i="1"/>
  <c r="M65" i="1"/>
  <c r="Q78" i="1"/>
  <c r="L78" i="1"/>
  <c r="L13" i="1"/>
  <c r="M13" i="1"/>
  <c r="K27" i="1"/>
  <c r="I18" i="1"/>
  <c r="H18" i="1"/>
  <c r="F27" i="1"/>
  <c r="D30" i="1"/>
  <c r="E30" i="1"/>
  <c r="L30" i="1"/>
  <c r="M30" i="1"/>
  <c r="H30" i="1"/>
  <c r="I30" i="1"/>
  <c r="E65" i="1"/>
  <c r="D65" i="1"/>
  <c r="H72" i="1"/>
  <c r="I72" i="1"/>
  <c r="G83" i="1"/>
  <c r="D13" i="1"/>
  <c r="E13" i="1"/>
  <c r="C27" i="1"/>
  <c r="E18" i="1"/>
  <c r="D18" i="1"/>
  <c r="B27" i="1"/>
  <c r="M18" i="1"/>
  <c r="L18" i="1"/>
  <c r="J27" i="1"/>
  <c r="E37" i="1"/>
  <c r="D37" i="1"/>
  <c r="B83" i="1"/>
  <c r="M37" i="1"/>
  <c r="L37" i="1"/>
  <c r="J83" i="1"/>
  <c r="D72" i="1"/>
  <c r="E72" i="1"/>
  <c r="C83" i="1"/>
  <c r="L72" i="1"/>
  <c r="M72" i="1"/>
  <c r="K83" i="1"/>
  <c r="S83" i="1"/>
  <c r="D78" i="1"/>
  <c r="Q18" i="1"/>
  <c r="P18" i="1"/>
  <c r="N27" i="1"/>
  <c r="I37" i="1"/>
  <c r="H37" i="1"/>
  <c r="F83" i="1"/>
  <c r="H83" i="1"/>
  <c r="Q37" i="1"/>
  <c r="P37" i="1"/>
  <c r="N83" i="1"/>
  <c r="P72" i="1"/>
  <c r="Q72" i="1"/>
  <c r="O83" i="1"/>
  <c r="E83" i="1"/>
  <c r="P83" i="1"/>
  <c r="L83" i="1"/>
  <c r="Q83" i="1"/>
  <c r="M83" i="1"/>
  <c r="D83" i="1"/>
  <c r="L27" i="1"/>
  <c r="J31" i="1"/>
  <c r="E27" i="1"/>
  <c r="C31" i="1"/>
  <c r="S84" i="1"/>
  <c r="H27" i="1"/>
  <c r="I27" i="1"/>
  <c r="F31" i="1"/>
  <c r="P27" i="1"/>
  <c r="Q27" i="1"/>
  <c r="N31" i="1"/>
  <c r="O84" i="1"/>
  <c r="D27" i="1"/>
  <c r="B31" i="1"/>
  <c r="I83" i="1"/>
  <c r="G84" i="1"/>
  <c r="M27" i="1"/>
  <c r="K31" i="1"/>
  <c r="M31" i="1"/>
  <c r="K84" i="1"/>
  <c r="D31" i="1"/>
  <c r="B84" i="1"/>
  <c r="P31" i="1"/>
  <c r="N84" i="1"/>
  <c r="Q84" i="1"/>
  <c r="Q31" i="1"/>
  <c r="H31" i="1"/>
  <c r="I31" i="1"/>
  <c r="F84" i="1"/>
  <c r="E31" i="1"/>
  <c r="C84" i="1"/>
  <c r="L31" i="1"/>
  <c r="J84" i="1"/>
  <c r="L84" i="1"/>
  <c r="E84" i="1"/>
  <c r="H84" i="1"/>
  <c r="I84" i="1"/>
  <c r="P84" i="1"/>
  <c r="D84" i="1"/>
  <c r="M84" i="1"/>
  <c r="W84" i="1"/>
</calcChain>
</file>

<file path=xl/sharedStrings.xml><?xml version="1.0" encoding="utf-8"?>
<sst xmlns="http://schemas.openxmlformats.org/spreadsheetml/2006/main" count="100" uniqueCount="87">
  <si>
    <t>Arizona Trail Association</t>
  </si>
  <si>
    <t>Actual</t>
  </si>
  <si>
    <t>Budget</t>
  </si>
  <si>
    <t>over Budget</t>
  </si>
  <si>
    <t>% of Budget</t>
  </si>
  <si>
    <t>Income</t>
  </si>
  <si>
    <t xml:space="preserve">   4000 Contributions</t>
  </si>
  <si>
    <t xml:space="preserve">      4002 Corporate Donations</t>
  </si>
  <si>
    <t xml:space="preserve">      4005 Business Partnerships</t>
  </si>
  <si>
    <t xml:space="preserve">      4006 Individual contributions</t>
  </si>
  <si>
    <t xml:space="preserve">      4007 Memorial Contributions</t>
  </si>
  <si>
    <t xml:space="preserve">      4008 Grants</t>
  </si>
  <si>
    <t xml:space="preserve">      4009 Other Contributions</t>
  </si>
  <si>
    <t xml:space="preserve">   Total 4000 Contributions</t>
  </si>
  <si>
    <t xml:space="preserve">   4100 Membership Dues Income</t>
  </si>
  <si>
    <t xml:space="preserve">   4200 Special Event Income</t>
  </si>
  <si>
    <t xml:space="preserve">      4210 Sponsors</t>
  </si>
  <si>
    <t xml:space="preserve">      4215 Registration</t>
  </si>
  <si>
    <t xml:space="preserve">   Total 4200 Special Event Income</t>
  </si>
  <si>
    <t xml:space="preserve">   4230 Raffle Income</t>
  </si>
  <si>
    <t xml:space="preserve">   4400 Training Workshops</t>
  </si>
  <si>
    <t xml:space="preserve">   4610 Forest Service Cost Share</t>
  </si>
  <si>
    <t xml:space="preserve">   4620 BLM Challenge Cost Share</t>
  </si>
  <si>
    <t xml:space="preserve">   4700 Product Sales</t>
  </si>
  <si>
    <t xml:space="preserve">   4999 Miscellaneous</t>
  </si>
  <si>
    <t>Total Income</t>
  </si>
  <si>
    <t>Cost of Goods Sold</t>
  </si>
  <si>
    <t xml:space="preserve">   4720 Product Cost</t>
  </si>
  <si>
    <t>Total Cost of Goods Sold</t>
  </si>
  <si>
    <t>Gross Profit</t>
  </si>
  <si>
    <t>Expenses</t>
  </si>
  <si>
    <t xml:space="preserve">   5000 Payroll and ERE</t>
  </si>
  <si>
    <t xml:space="preserve">      5010 Salaries &amp; Wages</t>
  </si>
  <si>
    <t xml:space="preserve">      5040 Payroll Taxes</t>
  </si>
  <si>
    <t xml:space="preserve">   Total 5000 Payroll and ERE</t>
  </si>
  <si>
    <t xml:space="preserve">   5100 Office rent</t>
  </si>
  <si>
    <t xml:space="preserve">   5110 Office Equipment</t>
  </si>
  <si>
    <t xml:space="preserve">   5115 Insurance</t>
  </si>
  <si>
    <t xml:space="preserve">   5120 Printing &amp; Reproduction</t>
  </si>
  <si>
    <t xml:space="preserve">   5125 Postage &amp; Shipping</t>
  </si>
  <si>
    <t xml:space="preserve">   5130 Supplies</t>
  </si>
  <si>
    <t xml:space="preserve">   5135 Dues &amp; Subscriptions</t>
  </si>
  <si>
    <t xml:space="preserve">   5140 Advertising</t>
  </si>
  <si>
    <t xml:space="preserve">   5155 Bank Service Charges</t>
  </si>
  <si>
    <t xml:space="preserve">   5160 Telephone &amp; Internet</t>
  </si>
  <si>
    <t xml:space="preserve">   5165 Database Mgt/Software</t>
  </si>
  <si>
    <t xml:space="preserve">   5170 Website</t>
  </si>
  <si>
    <t xml:space="preserve">   5175 Depreciation Expense</t>
  </si>
  <si>
    <t xml:space="preserve">   5180 Newsletter Expense</t>
  </si>
  <si>
    <t xml:space="preserve">   5185 Taxes</t>
  </si>
  <si>
    <t xml:space="preserve">   5195 Vehicle Expenses</t>
  </si>
  <si>
    <t xml:space="preserve">   5200 Volunteer Recognition</t>
  </si>
  <si>
    <t xml:space="preserve">   5205 Member Fulfillment Items</t>
  </si>
  <si>
    <t xml:space="preserve">   5300 Event Expenses</t>
  </si>
  <si>
    <t xml:space="preserve">      5310 Food &amp; beverage</t>
  </si>
  <si>
    <t xml:space="preserve">      5320 Event Management</t>
  </si>
  <si>
    <t xml:space="preserve">      5330 Event Supplies</t>
  </si>
  <si>
    <t xml:space="preserve">      5340 Entertainment</t>
  </si>
  <si>
    <t xml:space="preserve">      5350 Venue Cost</t>
  </si>
  <si>
    <t xml:space="preserve">      5360 Prizes</t>
  </si>
  <si>
    <t xml:space="preserve">   Total 5300 Event Expenses</t>
  </si>
  <si>
    <t xml:space="preserve">   5400 Trail Building &amp; Maintenance</t>
  </si>
  <si>
    <t xml:space="preserve">      5410 Chief Steward</t>
  </si>
  <si>
    <t xml:space="preserve">      5420 Trail Maintenance</t>
  </si>
  <si>
    <t xml:space="preserve">      5430 Trail Worker Expenses</t>
  </si>
  <si>
    <t xml:space="preserve">      5440 Trail Construction</t>
  </si>
  <si>
    <t xml:space="preserve">      5450 Trail Development</t>
  </si>
  <si>
    <t xml:space="preserve">   Total 5400 Trail Building &amp; Maintenance</t>
  </si>
  <si>
    <t xml:space="preserve">   5500 Professional Fees</t>
  </si>
  <si>
    <t xml:space="preserve">      5510 Accounting</t>
  </si>
  <si>
    <t xml:space="preserve">      5540 Other Consultants</t>
  </si>
  <si>
    <t xml:space="preserve">   Total 5500 Professional Fees</t>
  </si>
  <si>
    <t xml:space="preserve">   5700 Travel and Meeting</t>
  </si>
  <si>
    <t xml:space="preserve">   5710 Training/Seminars</t>
  </si>
  <si>
    <t xml:space="preserve">   5999 Other Expenses</t>
  </si>
  <si>
    <t xml:space="preserve">   6000 Youth Outreach Expenses</t>
  </si>
  <si>
    <t>Total Expenses</t>
  </si>
  <si>
    <t>Net Operating Income</t>
  </si>
  <si>
    <t xml:space="preserve">   5145 Storage</t>
  </si>
  <si>
    <t xml:space="preserve">   4630 Arizona State Fund</t>
  </si>
  <si>
    <t xml:space="preserve">   4500 Fiscal Sponsor Income</t>
  </si>
  <si>
    <t xml:space="preserve">      5050 Health Insurance</t>
  </si>
  <si>
    <t xml:space="preserve">   5158 PayPal Processing Fees</t>
  </si>
  <si>
    <t xml:space="preserve">      5520 Legal Fees</t>
  </si>
  <si>
    <t xml:space="preserve">      5530 GIS Services</t>
  </si>
  <si>
    <t>2019 BUDGET</t>
  </si>
  <si>
    <t xml:space="preserve">      4004 Board Member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</si>
</sst>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* #,##0.00"/>
    <numFmt numFmtId="165" formatCode="&quot;$&quot;#,##0.00"/>
  </numFmts>
  <fonts count="5" x14ac:knownFonts="1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10" fontId="3" fillId="0" borderId="0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165" fontId="0" fillId="0" borderId="0" xfId="0" applyNumberFormat="1"/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/>
    <xf numFmtId="0" fontId="3" fillId="0" borderId="0" xfId="0" applyFont="1"/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4" xfId="0" applyNumberFormat="1" applyFont="1" applyBorder="1"/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tabSelected="1" zoomScale="170" workbookViewId="0">
      <selection activeCell="X13" sqref="X13"/>
    </sheetView>
  </sheetViews>
  <sheetFormatPr baseColWidth="10" defaultColWidth="8.83203125" defaultRowHeight="13" x14ac:dyDescent="0.15"/>
  <cols>
    <col min="1" max="1" width="26.1640625" customWidth="1"/>
    <col min="2" max="17" width="0" hidden="1" customWidth="1"/>
    <col min="18" max="18" width="9.6640625" bestFit="1" customWidth="1"/>
    <col min="19" max="19" width="9.5" customWidth="1"/>
    <col min="20" max="20" width="10.83203125" style="9" bestFit="1" customWidth="1"/>
    <col min="21" max="21" width="0" hidden="1" customWidth="1"/>
    <col min="22" max="22" width="10.33203125" style="12" customWidth="1"/>
    <col min="23" max="23" width="9.5" bestFit="1" customWidth="1"/>
    <col min="24" max="24" width="10.5" style="12" bestFit="1" customWidth="1"/>
  </cols>
  <sheetData>
    <row r="1" spans="1:24" ht="21.7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4" ht="21" customHeight="1" x14ac:dyDescent="0.2">
      <c r="A2" s="26" t="s">
        <v>85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4" s="12" customFormat="1" ht="25.5" customHeight="1" x14ac:dyDescent="0.15">
      <c r="A3" s="22"/>
      <c r="B3" s="23" t="s">
        <v>1</v>
      </c>
      <c r="C3" s="23" t="s">
        <v>2</v>
      </c>
      <c r="D3" s="23" t="s">
        <v>3</v>
      </c>
      <c r="E3" s="23" t="s">
        <v>4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1</v>
      </c>
      <c r="K3" s="23" t="s">
        <v>2</v>
      </c>
      <c r="L3" s="23" t="s">
        <v>3</v>
      </c>
      <c r="M3" s="23" t="s">
        <v>4</v>
      </c>
      <c r="N3" s="23" t="s">
        <v>1</v>
      </c>
      <c r="O3" s="23" t="s">
        <v>2</v>
      </c>
      <c r="P3" s="23" t="s">
        <v>3</v>
      </c>
      <c r="Q3" s="23" t="s">
        <v>4</v>
      </c>
      <c r="R3" s="23">
        <v>2014</v>
      </c>
      <c r="S3" s="23">
        <v>2015</v>
      </c>
      <c r="T3" s="24">
        <v>2016</v>
      </c>
      <c r="U3" s="23" t="s">
        <v>4</v>
      </c>
      <c r="V3" s="25">
        <v>2017</v>
      </c>
      <c r="W3" s="25">
        <v>2018</v>
      </c>
      <c r="X3" s="17">
        <v>2019</v>
      </c>
    </row>
    <row r="4" spans="1:24" s="12" customFormat="1" ht="12.75" customHeight="1" x14ac:dyDescent="0.15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0"/>
      <c r="U4" s="2"/>
    </row>
    <row r="5" spans="1:24" s="12" customFormat="1" ht="12.75" customHeight="1" x14ac:dyDescent="0.15">
      <c r="A5" s="1" t="s">
        <v>6</v>
      </c>
      <c r="B5" s="2"/>
      <c r="C5" s="2"/>
      <c r="D5" s="3">
        <f t="shared" ref="D5:D19" si="0">(B5)-(C5)</f>
        <v>0</v>
      </c>
      <c r="E5" s="4" t="str">
        <f t="shared" ref="E5:E19" si="1">IF(C5=0,"",(B5)/(C5))</f>
        <v/>
      </c>
      <c r="F5" s="2"/>
      <c r="G5" s="2"/>
      <c r="H5" s="3">
        <f t="shared" ref="H5:H19" si="2">(F5)-(G5)</f>
        <v>0</v>
      </c>
      <c r="I5" s="4" t="str">
        <f t="shared" ref="I5:I19" si="3">IF(G5=0,"",(F5)/(G5))</f>
        <v/>
      </c>
      <c r="J5" s="2"/>
      <c r="K5" s="2"/>
      <c r="L5" s="3">
        <f t="shared" ref="L5:L19" si="4">(J5)-(K5)</f>
        <v>0</v>
      </c>
      <c r="M5" s="4" t="str">
        <f t="shared" ref="M5:M19" si="5">IF(K5=0,"",(J5)/(K5))</f>
        <v/>
      </c>
      <c r="N5" s="2"/>
      <c r="O5" s="2"/>
      <c r="P5" s="3">
        <f t="shared" ref="P5:P19" si="6">(N5)-(O5)</f>
        <v>0</v>
      </c>
      <c r="Q5" s="4" t="str">
        <f t="shared" ref="Q5:Q19" si="7">IF(O5=0,"",(N5)/(O5))</f>
        <v/>
      </c>
      <c r="R5" s="4"/>
      <c r="T5" s="11"/>
      <c r="U5" s="4" t="str">
        <f>IF(T5=0,"",(S5)/(T5))</f>
        <v/>
      </c>
      <c r="V5" s="11"/>
    </row>
    <row r="6" spans="1:24" s="12" customFormat="1" ht="12.75" customHeight="1" x14ac:dyDescent="0.15">
      <c r="A6" s="1" t="s">
        <v>7</v>
      </c>
      <c r="B6" s="2"/>
      <c r="C6" s="3">
        <f>4166</f>
        <v>4166</v>
      </c>
      <c r="D6" s="3">
        <f t="shared" si="0"/>
        <v>-4166</v>
      </c>
      <c r="E6" s="4">
        <f t="shared" si="1"/>
        <v>0</v>
      </c>
      <c r="F6" s="3">
        <f>500</f>
        <v>500</v>
      </c>
      <c r="G6" s="3">
        <f>4166</f>
        <v>4166</v>
      </c>
      <c r="H6" s="3">
        <f t="shared" si="2"/>
        <v>-3666</v>
      </c>
      <c r="I6" s="4">
        <f t="shared" si="3"/>
        <v>0.1200192030724916</v>
      </c>
      <c r="J6" s="3">
        <f>811.44</f>
        <v>811.44</v>
      </c>
      <c r="K6" s="3">
        <f>4166</f>
        <v>4166</v>
      </c>
      <c r="L6" s="3">
        <f t="shared" si="4"/>
        <v>-3354.56</v>
      </c>
      <c r="M6" s="4">
        <f t="shared" si="5"/>
        <v>0.19477676428228519</v>
      </c>
      <c r="N6" s="3">
        <f>5000</f>
        <v>5000</v>
      </c>
      <c r="O6" s="3">
        <f>4166</f>
        <v>4166</v>
      </c>
      <c r="P6" s="3">
        <f t="shared" si="6"/>
        <v>834</v>
      </c>
      <c r="Q6" s="4">
        <f t="shared" si="7"/>
        <v>1.2001920307249161</v>
      </c>
      <c r="R6" s="7">
        <v>37719.279999999999</v>
      </c>
      <c r="S6" s="7">
        <v>66225.86</v>
      </c>
      <c r="T6" s="7">
        <v>77315.460000000006</v>
      </c>
      <c r="U6" s="7">
        <v>77315.460000000006</v>
      </c>
      <c r="V6" s="7">
        <v>74869.649999999994</v>
      </c>
      <c r="W6" s="7">
        <v>67903.39</v>
      </c>
      <c r="X6" s="8">
        <v>75000</v>
      </c>
    </row>
    <row r="7" spans="1:24" s="12" customFormat="1" ht="12.75" customHeight="1" x14ac:dyDescent="0.15">
      <c r="A7" s="1" t="s">
        <v>86</v>
      </c>
      <c r="B7" s="2"/>
      <c r="C7" s="3">
        <f>750</f>
        <v>750</v>
      </c>
      <c r="D7" s="3">
        <f t="shared" si="0"/>
        <v>-750</v>
      </c>
      <c r="E7" s="4">
        <f t="shared" si="1"/>
        <v>0</v>
      </c>
      <c r="F7" s="2"/>
      <c r="G7" s="3">
        <f>750</f>
        <v>750</v>
      </c>
      <c r="H7" s="3">
        <f t="shared" si="2"/>
        <v>-750</v>
      </c>
      <c r="I7" s="4">
        <f t="shared" si="3"/>
        <v>0</v>
      </c>
      <c r="J7" s="2"/>
      <c r="K7" s="3">
        <f>750</f>
        <v>750</v>
      </c>
      <c r="L7" s="3">
        <f t="shared" si="4"/>
        <v>-750</v>
      </c>
      <c r="M7" s="4">
        <f t="shared" si="5"/>
        <v>0</v>
      </c>
      <c r="N7" s="2"/>
      <c r="O7" s="3">
        <f>750</f>
        <v>750</v>
      </c>
      <c r="P7" s="3">
        <f t="shared" si="6"/>
        <v>-750</v>
      </c>
      <c r="Q7" s="4">
        <f t="shared" si="7"/>
        <v>0</v>
      </c>
      <c r="R7" s="7">
        <v>6977.14</v>
      </c>
      <c r="S7" s="7">
        <v>5106.75</v>
      </c>
      <c r="T7" s="7">
        <v>5956.9</v>
      </c>
      <c r="U7" s="7">
        <v>5956.9</v>
      </c>
      <c r="V7" s="7">
        <v>5955.8</v>
      </c>
      <c r="W7" s="7">
        <v>10802.71</v>
      </c>
      <c r="X7" s="8">
        <v>12000</v>
      </c>
    </row>
    <row r="8" spans="1:24" s="12" customFormat="1" ht="12.75" customHeight="1" x14ac:dyDescent="0.15">
      <c r="A8" s="1" t="s">
        <v>8</v>
      </c>
      <c r="B8" s="2"/>
      <c r="C8" s="3">
        <f>1250</f>
        <v>1250</v>
      </c>
      <c r="D8" s="3">
        <f t="shared" si="0"/>
        <v>-1250</v>
      </c>
      <c r="E8" s="4">
        <f t="shared" si="1"/>
        <v>0</v>
      </c>
      <c r="F8" s="2"/>
      <c r="G8" s="3">
        <f>1250</f>
        <v>1250</v>
      </c>
      <c r="H8" s="3">
        <f t="shared" si="2"/>
        <v>-1250</v>
      </c>
      <c r="I8" s="4">
        <f t="shared" si="3"/>
        <v>0</v>
      </c>
      <c r="J8" s="2"/>
      <c r="K8" s="3">
        <f>1250</f>
        <v>1250</v>
      </c>
      <c r="L8" s="3">
        <f t="shared" si="4"/>
        <v>-1250</v>
      </c>
      <c r="M8" s="4">
        <f t="shared" si="5"/>
        <v>0</v>
      </c>
      <c r="N8" s="3">
        <f>125</f>
        <v>125</v>
      </c>
      <c r="O8" s="3">
        <f>1250</f>
        <v>1250</v>
      </c>
      <c r="P8" s="3">
        <f t="shared" si="6"/>
        <v>-1125</v>
      </c>
      <c r="Q8" s="4">
        <f t="shared" si="7"/>
        <v>0.1</v>
      </c>
      <c r="R8" s="7">
        <v>13890.4</v>
      </c>
      <c r="S8" s="7">
        <v>24216.17</v>
      </c>
      <c r="T8" s="7">
        <v>19665.54</v>
      </c>
      <c r="U8" s="7">
        <v>19665.54</v>
      </c>
      <c r="V8" s="7">
        <v>22840.7</v>
      </c>
      <c r="W8" s="7">
        <v>22101.99</v>
      </c>
      <c r="X8" s="8">
        <v>30000</v>
      </c>
    </row>
    <row r="9" spans="1:24" s="12" customFormat="1" ht="12.75" customHeight="1" x14ac:dyDescent="0.15">
      <c r="A9" s="1" t="s">
        <v>9</v>
      </c>
      <c r="B9" s="3">
        <f>270.94</f>
        <v>270.94</v>
      </c>
      <c r="C9" s="3">
        <f>583</f>
        <v>583</v>
      </c>
      <c r="D9" s="3">
        <f t="shared" si="0"/>
        <v>-312.06</v>
      </c>
      <c r="E9" s="4">
        <f t="shared" si="1"/>
        <v>0.46473413379073758</v>
      </c>
      <c r="F9" s="3">
        <f>638.55</f>
        <v>638.54999999999995</v>
      </c>
      <c r="G9" s="3">
        <f>583</f>
        <v>583</v>
      </c>
      <c r="H9" s="3">
        <f t="shared" si="2"/>
        <v>55.549999999999955</v>
      </c>
      <c r="I9" s="4">
        <f t="shared" si="3"/>
        <v>1.0952830188679243</v>
      </c>
      <c r="J9" s="3">
        <f>552.66</f>
        <v>552.66</v>
      </c>
      <c r="K9" s="3">
        <f>583</f>
        <v>583</v>
      </c>
      <c r="L9" s="3">
        <f t="shared" si="4"/>
        <v>-30.340000000000032</v>
      </c>
      <c r="M9" s="4">
        <f t="shared" si="5"/>
        <v>0.94795883361921096</v>
      </c>
      <c r="N9" s="3">
        <f>3495.57</f>
        <v>3495.57</v>
      </c>
      <c r="O9" s="3">
        <f>583</f>
        <v>583</v>
      </c>
      <c r="P9" s="3">
        <f t="shared" si="6"/>
        <v>2912.57</v>
      </c>
      <c r="Q9" s="4">
        <f t="shared" si="7"/>
        <v>5.9958319039451116</v>
      </c>
      <c r="R9" s="7">
        <v>34441.57</v>
      </c>
      <c r="S9" s="7">
        <v>17796.75</v>
      </c>
      <c r="T9" s="7">
        <v>24875.42</v>
      </c>
      <c r="U9" s="7">
        <v>24875.42</v>
      </c>
      <c r="V9" s="7">
        <v>33224.74</v>
      </c>
      <c r="W9" s="7">
        <v>73261.69</v>
      </c>
      <c r="X9" s="8">
        <v>100000</v>
      </c>
    </row>
    <row r="10" spans="1:24" s="12" customFormat="1" ht="12.75" customHeight="1" x14ac:dyDescent="0.15">
      <c r="A10" s="1" t="s">
        <v>10</v>
      </c>
      <c r="B10" s="3">
        <f>48.6</f>
        <v>48.6</v>
      </c>
      <c r="C10" s="3">
        <f>250</f>
        <v>250</v>
      </c>
      <c r="D10" s="3">
        <f t="shared" si="0"/>
        <v>-201.4</v>
      </c>
      <c r="E10" s="4">
        <f t="shared" si="1"/>
        <v>0.19440000000000002</v>
      </c>
      <c r="F10" s="3">
        <f>995.65</f>
        <v>995.65</v>
      </c>
      <c r="G10" s="3">
        <f>250</f>
        <v>250</v>
      </c>
      <c r="H10" s="3">
        <f t="shared" si="2"/>
        <v>745.65</v>
      </c>
      <c r="I10" s="4">
        <f t="shared" si="3"/>
        <v>3.9825999999999997</v>
      </c>
      <c r="J10" s="3">
        <f>273.6</f>
        <v>273.60000000000002</v>
      </c>
      <c r="K10" s="3">
        <f>250</f>
        <v>250</v>
      </c>
      <c r="L10" s="3">
        <f t="shared" si="4"/>
        <v>23.600000000000023</v>
      </c>
      <c r="M10" s="4">
        <f t="shared" si="5"/>
        <v>1.0944</v>
      </c>
      <c r="N10" s="3">
        <f>199.16</f>
        <v>199.16</v>
      </c>
      <c r="O10" s="3">
        <f>250</f>
        <v>250</v>
      </c>
      <c r="P10" s="3">
        <f t="shared" si="6"/>
        <v>-50.84</v>
      </c>
      <c r="Q10" s="4">
        <f t="shared" si="7"/>
        <v>0.79664000000000001</v>
      </c>
      <c r="R10" s="7">
        <v>2329.0100000000002</v>
      </c>
      <c r="S10" s="7">
        <v>7353.4</v>
      </c>
      <c r="T10" s="7">
        <v>5086.59</v>
      </c>
      <c r="U10" s="7">
        <v>5086.59</v>
      </c>
      <c r="V10" s="7">
        <v>1155.8</v>
      </c>
      <c r="W10" s="7">
        <v>843</v>
      </c>
      <c r="X10" s="8">
        <v>1500</v>
      </c>
    </row>
    <row r="11" spans="1:24" s="12" customFormat="1" ht="12.75" customHeight="1" x14ac:dyDescent="0.15">
      <c r="A11" s="1" t="s">
        <v>11</v>
      </c>
      <c r="B11" s="2"/>
      <c r="C11" s="3">
        <f>2083</f>
        <v>2083</v>
      </c>
      <c r="D11" s="3">
        <f t="shared" si="0"/>
        <v>-2083</v>
      </c>
      <c r="E11" s="4">
        <f t="shared" si="1"/>
        <v>0</v>
      </c>
      <c r="F11" s="2"/>
      <c r="G11" s="3">
        <f>2083</f>
        <v>2083</v>
      </c>
      <c r="H11" s="3">
        <f t="shared" si="2"/>
        <v>-2083</v>
      </c>
      <c r="I11" s="4">
        <f t="shared" si="3"/>
        <v>0</v>
      </c>
      <c r="J11" s="2"/>
      <c r="K11" s="3">
        <f>2083</f>
        <v>2083</v>
      </c>
      <c r="L11" s="3">
        <f t="shared" si="4"/>
        <v>-2083</v>
      </c>
      <c r="M11" s="4">
        <f t="shared" si="5"/>
        <v>0</v>
      </c>
      <c r="N11" s="2"/>
      <c r="O11" s="3">
        <f>2083</f>
        <v>2083</v>
      </c>
      <c r="P11" s="3">
        <f t="shared" si="6"/>
        <v>-2083</v>
      </c>
      <c r="Q11" s="4">
        <f t="shared" si="7"/>
        <v>0</v>
      </c>
      <c r="R11" s="7">
        <v>40950</v>
      </c>
      <c r="S11" s="7">
        <v>81600</v>
      </c>
      <c r="T11" s="7">
        <v>127358.16</v>
      </c>
      <c r="U11" s="7">
        <v>127358.16</v>
      </c>
      <c r="V11" s="7">
        <v>123241.84</v>
      </c>
      <c r="W11" s="7">
        <v>127419.94</v>
      </c>
      <c r="X11" s="8">
        <v>135000</v>
      </c>
    </row>
    <row r="12" spans="1:24" s="12" customFormat="1" ht="12.75" customHeight="1" x14ac:dyDescent="0.15">
      <c r="A12" s="1" t="s">
        <v>12</v>
      </c>
      <c r="B12" s="3">
        <f>108.99</f>
        <v>108.99</v>
      </c>
      <c r="C12" s="3">
        <f>166</f>
        <v>166</v>
      </c>
      <c r="D12" s="3">
        <f t="shared" si="0"/>
        <v>-57.010000000000005</v>
      </c>
      <c r="E12" s="4">
        <f t="shared" si="1"/>
        <v>0.65656626506024096</v>
      </c>
      <c r="F12" s="2"/>
      <c r="G12" s="3">
        <f>166</f>
        <v>166</v>
      </c>
      <c r="H12" s="3">
        <f t="shared" si="2"/>
        <v>-166</v>
      </c>
      <c r="I12" s="4">
        <f t="shared" si="3"/>
        <v>0</v>
      </c>
      <c r="J12" s="2"/>
      <c r="K12" s="3">
        <f>166</f>
        <v>166</v>
      </c>
      <c r="L12" s="3">
        <f t="shared" si="4"/>
        <v>-166</v>
      </c>
      <c r="M12" s="4">
        <f t="shared" si="5"/>
        <v>0</v>
      </c>
      <c r="N12" s="2"/>
      <c r="O12" s="3">
        <f>166</f>
        <v>166</v>
      </c>
      <c r="P12" s="3">
        <f t="shared" si="6"/>
        <v>-166</v>
      </c>
      <c r="Q12" s="4">
        <f t="shared" si="7"/>
        <v>0</v>
      </c>
      <c r="R12" s="7">
        <v>2954.99</v>
      </c>
      <c r="S12" s="7">
        <v>2762.25</v>
      </c>
      <c r="T12" s="7">
        <v>5592</v>
      </c>
      <c r="U12" s="7">
        <v>5592</v>
      </c>
      <c r="V12" s="7">
        <v>5552.43</v>
      </c>
      <c r="W12" s="7">
        <v>6085.84</v>
      </c>
      <c r="X12" s="8">
        <v>484500</v>
      </c>
    </row>
    <row r="13" spans="1:24" s="12" customFormat="1" ht="12.75" customHeight="1" x14ac:dyDescent="0.15">
      <c r="A13" s="1" t="s">
        <v>13</v>
      </c>
      <c r="B13" s="5">
        <f>(((((((B5)+(B6))+(B7))+(B8))+(B9))+(B10))+(B11))+(B12)</f>
        <v>428.53000000000003</v>
      </c>
      <c r="C13" s="5">
        <f>(((((((C5)+(C6))+(C7))+(C8))+(C9))+(C10))+(C11))+(C12)</f>
        <v>9248</v>
      </c>
      <c r="D13" s="5">
        <f t="shared" si="0"/>
        <v>-8819.4699999999993</v>
      </c>
      <c r="E13" s="6">
        <f t="shared" si="1"/>
        <v>4.6337586505190313E-2</v>
      </c>
      <c r="F13" s="5">
        <f>(((((((F5)+(F6))+(F7))+(F8))+(F9))+(F10))+(F11))+(F12)</f>
        <v>2134.1999999999998</v>
      </c>
      <c r="G13" s="5">
        <f>(((((((G5)+(G6))+(G7))+(G8))+(G9))+(G10))+(G11))+(G12)</f>
        <v>9248</v>
      </c>
      <c r="H13" s="5">
        <f t="shared" si="2"/>
        <v>-7113.8</v>
      </c>
      <c r="I13" s="6">
        <f t="shared" si="3"/>
        <v>0.23077422145328719</v>
      </c>
      <c r="J13" s="5">
        <f>(((((((J5)+(J6))+(J7))+(J8))+(J9))+(J10))+(J11))+(J12)</f>
        <v>1637.6999999999998</v>
      </c>
      <c r="K13" s="5">
        <f>(((((((K5)+(K6))+(K7))+(K8))+(K9))+(K10))+(K11))+(K12)</f>
        <v>9248</v>
      </c>
      <c r="L13" s="5">
        <f t="shared" si="4"/>
        <v>-7610.3</v>
      </c>
      <c r="M13" s="6">
        <f t="shared" si="5"/>
        <v>0.17708693771626297</v>
      </c>
      <c r="N13" s="5">
        <f>(((((((N5)+(N6))+(N7))+(N8))+(N9))+(N10))+(N11))+(N12)</f>
        <v>8819.73</v>
      </c>
      <c r="O13" s="5">
        <f>(((((((O5)+(O6))+(O7))+(O8))+(O9))+(O10))+(O11))+(O12)</f>
        <v>9248</v>
      </c>
      <c r="P13" s="5">
        <f t="shared" si="6"/>
        <v>-428.27000000000044</v>
      </c>
      <c r="Q13" s="6">
        <f t="shared" si="7"/>
        <v>0.95369052768166085</v>
      </c>
      <c r="R13" s="13">
        <f>SUM(R6:R12)</f>
        <v>139262.38999999998</v>
      </c>
      <c r="S13" s="13">
        <f>SUM(S6:S12)</f>
        <v>205061.18</v>
      </c>
      <c r="T13" s="13">
        <f>SUM(T5:T12)</f>
        <v>265850.07</v>
      </c>
      <c r="U13" s="13">
        <f>SUM(U5:U12)</f>
        <v>265850.07</v>
      </c>
      <c r="V13" s="13">
        <f>SUM(V6:V12)</f>
        <v>266840.95999999996</v>
      </c>
      <c r="W13" s="13">
        <f>SUM(W6:W12)</f>
        <v>308418.56000000006</v>
      </c>
      <c r="X13" s="19">
        <f>SUM(X6:X12)</f>
        <v>838000</v>
      </c>
    </row>
    <row r="14" spans="1:24" s="12" customFormat="1" ht="12.75" customHeight="1" x14ac:dyDescent="0.15">
      <c r="A14" s="1" t="s">
        <v>14</v>
      </c>
      <c r="B14" s="3">
        <f>17459.36</f>
        <v>17459.36</v>
      </c>
      <c r="C14" s="3">
        <f>4166</f>
        <v>4166</v>
      </c>
      <c r="D14" s="3">
        <f t="shared" si="0"/>
        <v>13293.36</v>
      </c>
      <c r="E14" s="4">
        <f t="shared" si="1"/>
        <v>4.1909169467114742</v>
      </c>
      <c r="F14" s="3">
        <f>6536.88</f>
        <v>6536.88</v>
      </c>
      <c r="G14" s="3">
        <f>4166</f>
        <v>4166</v>
      </c>
      <c r="H14" s="3">
        <f t="shared" si="2"/>
        <v>2370.88</v>
      </c>
      <c r="I14" s="4">
        <f t="shared" si="3"/>
        <v>1.5691022563610177</v>
      </c>
      <c r="J14" s="3">
        <f>10874.63</f>
        <v>10874.63</v>
      </c>
      <c r="K14" s="3">
        <f>4166</f>
        <v>4166</v>
      </c>
      <c r="L14" s="3">
        <f t="shared" si="4"/>
        <v>6708.6299999999992</v>
      </c>
      <c r="M14" s="4">
        <f t="shared" si="5"/>
        <v>2.6103288526164183</v>
      </c>
      <c r="N14" s="3">
        <f>4347.37</f>
        <v>4347.37</v>
      </c>
      <c r="O14" s="3">
        <f>4166</f>
        <v>4166</v>
      </c>
      <c r="P14" s="3">
        <f t="shared" si="6"/>
        <v>181.36999999999989</v>
      </c>
      <c r="Q14" s="4">
        <f t="shared" si="7"/>
        <v>1.0435357657225155</v>
      </c>
      <c r="R14" s="7">
        <v>57328.21</v>
      </c>
      <c r="S14" s="7">
        <v>66930.25</v>
      </c>
      <c r="T14" s="7">
        <v>83239.240000000005</v>
      </c>
      <c r="U14" s="7">
        <v>83239.240000000005</v>
      </c>
      <c r="V14" s="7">
        <v>80216.08</v>
      </c>
      <c r="W14" s="7">
        <v>79705.95</v>
      </c>
      <c r="X14" s="11">
        <v>85000</v>
      </c>
    </row>
    <row r="15" spans="1:24" s="12" customFormat="1" ht="12.75" customHeight="1" x14ac:dyDescent="0.15">
      <c r="A15" s="1" t="s">
        <v>15</v>
      </c>
      <c r="B15" s="2"/>
      <c r="C15" s="2"/>
      <c r="D15" s="3">
        <f t="shared" si="0"/>
        <v>0</v>
      </c>
      <c r="E15" s="4" t="str">
        <f t="shared" si="1"/>
        <v/>
      </c>
      <c r="F15" s="2"/>
      <c r="G15" s="2"/>
      <c r="H15" s="3">
        <f t="shared" si="2"/>
        <v>0</v>
      </c>
      <c r="I15" s="4" t="str">
        <f t="shared" si="3"/>
        <v/>
      </c>
      <c r="J15" s="2"/>
      <c r="K15" s="2"/>
      <c r="L15" s="3">
        <f t="shared" si="4"/>
        <v>0</v>
      </c>
      <c r="M15" s="4" t="str">
        <f t="shared" si="5"/>
        <v/>
      </c>
      <c r="N15" s="2"/>
      <c r="O15" s="2"/>
      <c r="P15" s="3">
        <f t="shared" si="6"/>
        <v>0</v>
      </c>
      <c r="Q15" s="4" t="str">
        <f t="shared" si="7"/>
        <v/>
      </c>
      <c r="R15" s="7">
        <v>2046</v>
      </c>
      <c r="S15" s="7">
        <v>4310.37</v>
      </c>
      <c r="T15" s="7">
        <v>2679.96</v>
      </c>
      <c r="U15" s="7">
        <v>2679.96</v>
      </c>
      <c r="V15" s="7">
        <v>3523.94</v>
      </c>
      <c r="W15" s="7">
        <v>27548.33</v>
      </c>
      <c r="X15" s="11">
        <v>2500</v>
      </c>
    </row>
    <row r="16" spans="1:24" s="12" customFormat="1" ht="12.75" customHeight="1" x14ac:dyDescent="0.15">
      <c r="A16" s="1" t="s">
        <v>16</v>
      </c>
      <c r="B16" s="2"/>
      <c r="C16" s="3">
        <f>208</f>
        <v>208</v>
      </c>
      <c r="D16" s="3">
        <f t="shared" si="0"/>
        <v>-208</v>
      </c>
      <c r="E16" s="4">
        <f t="shared" si="1"/>
        <v>0</v>
      </c>
      <c r="F16" s="2"/>
      <c r="G16" s="3">
        <f>208</f>
        <v>208</v>
      </c>
      <c r="H16" s="3">
        <f t="shared" si="2"/>
        <v>-208</v>
      </c>
      <c r="I16" s="4">
        <f t="shared" si="3"/>
        <v>0</v>
      </c>
      <c r="J16" s="2"/>
      <c r="K16" s="3">
        <f>208</f>
        <v>208</v>
      </c>
      <c r="L16" s="3">
        <f t="shared" si="4"/>
        <v>-208</v>
      </c>
      <c r="M16" s="4">
        <f t="shared" si="5"/>
        <v>0</v>
      </c>
      <c r="N16" s="2"/>
      <c r="O16" s="3">
        <f>208</f>
        <v>208</v>
      </c>
      <c r="P16" s="3">
        <f t="shared" si="6"/>
        <v>-208</v>
      </c>
      <c r="Q16" s="4">
        <f t="shared" si="7"/>
        <v>0</v>
      </c>
      <c r="R16" s="7">
        <v>2500</v>
      </c>
      <c r="S16" s="7">
        <v>2200</v>
      </c>
      <c r="T16" s="7">
        <v>17872.189999999999</v>
      </c>
      <c r="U16" s="7">
        <v>17872.189999999999</v>
      </c>
      <c r="V16" s="7">
        <v>17120</v>
      </c>
      <c r="W16" s="7">
        <v>26950</v>
      </c>
      <c r="X16" s="11">
        <v>50000</v>
      </c>
    </row>
    <row r="17" spans="1:24" s="12" customFormat="1" ht="12.75" customHeight="1" x14ac:dyDescent="0.15">
      <c r="A17" s="1" t="s">
        <v>17</v>
      </c>
      <c r="B17" s="3">
        <f>2224.3</f>
        <v>2224.3000000000002</v>
      </c>
      <c r="C17" s="3">
        <f>3533</f>
        <v>3533</v>
      </c>
      <c r="D17" s="3">
        <f t="shared" si="0"/>
        <v>-1308.6999999999998</v>
      </c>
      <c r="E17" s="4">
        <f t="shared" si="1"/>
        <v>0.62957826210019818</v>
      </c>
      <c r="F17" s="3">
        <f>1521.24</f>
        <v>1521.24</v>
      </c>
      <c r="G17" s="3">
        <f>3533</f>
        <v>3533</v>
      </c>
      <c r="H17" s="3">
        <f t="shared" si="2"/>
        <v>-2011.76</v>
      </c>
      <c r="I17" s="4">
        <f t="shared" si="3"/>
        <v>0.43058024341919049</v>
      </c>
      <c r="J17" s="3">
        <f>1125</f>
        <v>1125</v>
      </c>
      <c r="K17" s="3">
        <f>3533</f>
        <v>3533</v>
      </c>
      <c r="L17" s="3">
        <f t="shared" si="4"/>
        <v>-2408</v>
      </c>
      <c r="M17" s="4">
        <f t="shared" si="5"/>
        <v>0.31842626662892726</v>
      </c>
      <c r="N17" s="3">
        <f>1360</f>
        <v>1360</v>
      </c>
      <c r="O17" s="3">
        <f>3533</f>
        <v>3533</v>
      </c>
      <c r="P17" s="3">
        <f t="shared" si="6"/>
        <v>-2173</v>
      </c>
      <c r="Q17" s="4">
        <f t="shared" si="7"/>
        <v>0.38494197565808097</v>
      </c>
      <c r="R17" s="7">
        <v>33584.85</v>
      </c>
      <c r="S17" s="7">
        <v>34897.360000000001</v>
      </c>
      <c r="T17" s="7">
        <v>68937.7</v>
      </c>
      <c r="U17" s="7">
        <v>68937.7</v>
      </c>
      <c r="V17" s="7">
        <v>91697.38</v>
      </c>
      <c r="W17" s="7">
        <v>96929</v>
      </c>
      <c r="X17" s="11">
        <v>100000</v>
      </c>
    </row>
    <row r="18" spans="1:24" s="12" customFormat="1" ht="12.75" customHeight="1" x14ac:dyDescent="0.15">
      <c r="A18" s="1" t="s">
        <v>18</v>
      </c>
      <c r="B18" s="5" t="e">
        <f>(((B15)+(B16))+(B17))+(#REF!)</f>
        <v>#REF!</v>
      </c>
      <c r="C18" s="5" t="e">
        <f>(((C15)+(C16))+(C17))+(#REF!)</f>
        <v>#REF!</v>
      </c>
      <c r="D18" s="5" t="e">
        <f t="shared" si="0"/>
        <v>#REF!</v>
      </c>
      <c r="E18" s="6" t="e">
        <f t="shared" si="1"/>
        <v>#REF!</v>
      </c>
      <c r="F18" s="5" t="e">
        <f>(((F15)+(F16))+(F17))+(#REF!)</f>
        <v>#REF!</v>
      </c>
      <c r="G18" s="5" t="e">
        <f>(((G15)+(G16))+(G17))+(#REF!)</f>
        <v>#REF!</v>
      </c>
      <c r="H18" s="5" t="e">
        <f t="shared" si="2"/>
        <v>#REF!</v>
      </c>
      <c r="I18" s="6" t="e">
        <f t="shared" si="3"/>
        <v>#REF!</v>
      </c>
      <c r="J18" s="5" t="e">
        <f>(((J15)+(J16))+(J17))+(#REF!)</f>
        <v>#REF!</v>
      </c>
      <c r="K18" s="5" t="e">
        <f>(((K15)+(K16))+(K17))+(#REF!)</f>
        <v>#REF!</v>
      </c>
      <c r="L18" s="5" t="e">
        <f t="shared" si="4"/>
        <v>#REF!</v>
      </c>
      <c r="M18" s="6" t="e">
        <f t="shared" si="5"/>
        <v>#REF!</v>
      </c>
      <c r="N18" s="5" t="e">
        <f>(((N15)+(N16))+(N17))+(#REF!)</f>
        <v>#REF!</v>
      </c>
      <c r="O18" s="5" t="e">
        <f>(((O15)+(O16))+(O17))+(#REF!)</f>
        <v>#REF!</v>
      </c>
      <c r="P18" s="5" t="e">
        <f t="shared" si="6"/>
        <v>#REF!</v>
      </c>
      <c r="Q18" s="6" t="e">
        <f t="shared" si="7"/>
        <v>#REF!</v>
      </c>
      <c r="R18" s="13">
        <f t="shared" ref="R18:V18" si="8">SUM(R15:R17)</f>
        <v>38130.85</v>
      </c>
      <c r="S18" s="13">
        <f t="shared" si="8"/>
        <v>41407.730000000003</v>
      </c>
      <c r="T18" s="13">
        <f t="shared" si="8"/>
        <v>89489.849999999991</v>
      </c>
      <c r="U18" s="13">
        <f t="shared" si="8"/>
        <v>89489.849999999991</v>
      </c>
      <c r="V18" s="13">
        <f t="shared" si="8"/>
        <v>112341.32</v>
      </c>
      <c r="W18" s="16">
        <f>SUM(W15:W17)</f>
        <v>151427.33000000002</v>
      </c>
      <c r="X18" s="19">
        <f>SUM(X15:X17)</f>
        <v>152500</v>
      </c>
    </row>
    <row r="19" spans="1:24" s="12" customFormat="1" ht="12.75" customHeight="1" x14ac:dyDescent="0.15">
      <c r="A19" s="1" t="s">
        <v>19</v>
      </c>
      <c r="B19" s="2"/>
      <c r="C19" s="3">
        <f>250</f>
        <v>250</v>
      </c>
      <c r="D19" s="3">
        <f t="shared" si="0"/>
        <v>-250</v>
      </c>
      <c r="E19" s="4">
        <f t="shared" si="1"/>
        <v>0</v>
      </c>
      <c r="F19" s="2"/>
      <c r="G19" s="3">
        <f>250</f>
        <v>250</v>
      </c>
      <c r="H19" s="3">
        <f t="shared" si="2"/>
        <v>-250</v>
      </c>
      <c r="I19" s="4">
        <f t="shared" si="3"/>
        <v>0</v>
      </c>
      <c r="J19" s="2"/>
      <c r="K19" s="3">
        <f>250</f>
        <v>250</v>
      </c>
      <c r="L19" s="3">
        <f t="shared" si="4"/>
        <v>-250</v>
      </c>
      <c r="M19" s="4">
        <f t="shared" si="5"/>
        <v>0</v>
      </c>
      <c r="N19" s="2"/>
      <c r="O19" s="3">
        <f>250</f>
        <v>250</v>
      </c>
      <c r="P19" s="3">
        <f t="shared" si="6"/>
        <v>-250</v>
      </c>
      <c r="Q19" s="4">
        <f t="shared" si="7"/>
        <v>0</v>
      </c>
      <c r="R19" s="7">
        <v>1620.19</v>
      </c>
      <c r="S19" s="7">
        <v>8357.4699999999993</v>
      </c>
      <c r="T19" s="7">
        <v>2677.4</v>
      </c>
      <c r="U19" s="7">
        <v>2677.4</v>
      </c>
      <c r="V19" s="7">
        <v>14354.75</v>
      </c>
      <c r="W19" s="7">
        <v>8757</v>
      </c>
      <c r="X19" s="11">
        <v>10000</v>
      </c>
    </row>
    <row r="20" spans="1:24" s="12" customFormat="1" ht="12.75" customHeight="1" x14ac:dyDescent="0.15">
      <c r="A20" s="1" t="s">
        <v>20</v>
      </c>
      <c r="B20" s="2"/>
      <c r="C20" s="3"/>
      <c r="D20" s="3"/>
      <c r="E20" s="4"/>
      <c r="F20" s="2"/>
      <c r="G20" s="3"/>
      <c r="H20" s="3"/>
      <c r="I20" s="4"/>
      <c r="J20" s="2"/>
      <c r="K20" s="3"/>
      <c r="L20" s="3"/>
      <c r="M20" s="4"/>
      <c r="N20" s="2"/>
      <c r="O20" s="3"/>
      <c r="P20" s="3"/>
      <c r="Q20" s="4"/>
      <c r="R20" s="7">
        <v>0</v>
      </c>
      <c r="S20" s="7">
        <v>3674.6</v>
      </c>
      <c r="T20" s="7">
        <v>0</v>
      </c>
      <c r="U20" s="7">
        <v>0</v>
      </c>
      <c r="V20" s="7">
        <v>3702.2</v>
      </c>
      <c r="W20" s="7">
        <v>2425</v>
      </c>
      <c r="X20" s="11">
        <v>2500</v>
      </c>
    </row>
    <row r="21" spans="1:24" s="12" customFormat="1" ht="12.75" customHeight="1" x14ac:dyDescent="0.15">
      <c r="A21" s="1" t="s">
        <v>80</v>
      </c>
      <c r="B21" s="2"/>
      <c r="C21" s="3"/>
      <c r="D21" s="3"/>
      <c r="E21" s="4"/>
      <c r="F21" s="2"/>
      <c r="G21" s="3"/>
      <c r="H21" s="3"/>
      <c r="I21" s="4"/>
      <c r="J21" s="2"/>
      <c r="K21" s="3"/>
      <c r="L21" s="3"/>
      <c r="M21" s="4"/>
      <c r="N21" s="2"/>
      <c r="O21" s="3"/>
      <c r="P21" s="3"/>
      <c r="Q21" s="4"/>
      <c r="R21" s="7">
        <v>0</v>
      </c>
      <c r="S21" s="7">
        <v>0</v>
      </c>
      <c r="T21" s="7">
        <v>0</v>
      </c>
      <c r="U21" s="7"/>
      <c r="V21" s="7">
        <v>9377.42</v>
      </c>
      <c r="W21" s="7">
        <v>0</v>
      </c>
      <c r="X21" s="11">
        <v>0</v>
      </c>
    </row>
    <row r="22" spans="1:24" s="12" customFormat="1" ht="12.75" customHeight="1" x14ac:dyDescent="0.15">
      <c r="A22" s="1" t="s">
        <v>21</v>
      </c>
      <c r="B22" s="2"/>
      <c r="C22" s="3">
        <f>4833</f>
        <v>4833</v>
      </c>
      <c r="D22" s="3">
        <f>(B22)-(C22)</f>
        <v>-4833</v>
      </c>
      <c r="E22" s="4">
        <f>IF(C22=0,"",(B22)/(C22))</f>
        <v>0</v>
      </c>
      <c r="F22" s="2"/>
      <c r="G22" s="3">
        <f>4833</f>
        <v>4833</v>
      </c>
      <c r="H22" s="3">
        <f>(F22)-(G22)</f>
        <v>-4833</v>
      </c>
      <c r="I22" s="4">
        <f>IF(G22=0,"",(F22)/(G22))</f>
        <v>0</v>
      </c>
      <c r="J22" s="2"/>
      <c r="K22" s="3">
        <f>4833</f>
        <v>4833</v>
      </c>
      <c r="L22" s="3">
        <f>(J22)-(K22)</f>
        <v>-4833</v>
      </c>
      <c r="M22" s="4">
        <f>IF(K22=0,"",(J22)/(K22))</f>
        <v>0</v>
      </c>
      <c r="N22" s="3">
        <f>19324.45</f>
        <v>19324.45</v>
      </c>
      <c r="O22" s="3">
        <f>4833</f>
        <v>4833</v>
      </c>
      <c r="P22" s="3">
        <f>(N22)-(O22)</f>
        <v>14491.45</v>
      </c>
      <c r="Q22" s="4">
        <f>IF(O22=0,"",(N22)/(O22))</f>
        <v>3.9984378232981586</v>
      </c>
      <c r="R22" s="7">
        <v>58000</v>
      </c>
      <c r="S22" s="7">
        <v>60500</v>
      </c>
      <c r="T22" s="7">
        <v>120385.84</v>
      </c>
      <c r="U22" s="7">
        <v>120385.84</v>
      </c>
      <c r="V22" s="7">
        <v>269943.02</v>
      </c>
      <c r="W22" s="7">
        <v>61183.56</v>
      </c>
      <c r="X22" s="11">
        <v>249000</v>
      </c>
    </row>
    <row r="23" spans="1:24" s="12" customFormat="1" ht="12.75" customHeight="1" x14ac:dyDescent="0.15">
      <c r="A23" s="1" t="s">
        <v>22</v>
      </c>
      <c r="B23" s="2"/>
      <c r="C23" s="3">
        <f>2375</f>
        <v>2375</v>
      </c>
      <c r="D23" s="3">
        <f>(B23)-(C23)</f>
        <v>-2375</v>
      </c>
      <c r="E23" s="4">
        <f>IF(C23=0,"",(B23)/(C23))</f>
        <v>0</v>
      </c>
      <c r="F23" s="2"/>
      <c r="G23" s="3">
        <f>2375</f>
        <v>2375</v>
      </c>
      <c r="H23" s="3">
        <f>(F23)-(G23)</f>
        <v>-2375</v>
      </c>
      <c r="I23" s="4">
        <f>IF(G23=0,"",(F23)/(G23))</f>
        <v>0</v>
      </c>
      <c r="J23" s="2"/>
      <c r="K23" s="3">
        <f>2375</f>
        <v>2375</v>
      </c>
      <c r="L23" s="3">
        <f>(J23)-(K23)</f>
        <v>-2375</v>
      </c>
      <c r="M23" s="4">
        <f>IF(K23=0,"",(J23)/(K23))</f>
        <v>0</v>
      </c>
      <c r="N23" s="2"/>
      <c r="O23" s="3">
        <f>2375</f>
        <v>2375</v>
      </c>
      <c r="P23" s="3">
        <f>(N23)-(O23)</f>
        <v>-2375</v>
      </c>
      <c r="Q23" s="4">
        <f>IF(O23=0,"",(N23)/(O23))</f>
        <v>0</v>
      </c>
      <c r="R23" s="7">
        <v>32436.34</v>
      </c>
      <c r="S23" s="7">
        <v>7196.83</v>
      </c>
      <c r="T23" s="7">
        <v>36210.03</v>
      </c>
      <c r="U23" s="7">
        <v>36210.03</v>
      </c>
      <c r="V23" s="7">
        <v>46356.9</v>
      </c>
      <c r="W23" s="7">
        <v>118576.69</v>
      </c>
      <c r="X23" s="11">
        <v>0</v>
      </c>
    </row>
    <row r="24" spans="1:24" s="12" customFormat="1" ht="12.75" customHeight="1" x14ac:dyDescent="0.15">
      <c r="A24" s="1" t="s">
        <v>79</v>
      </c>
      <c r="B24" s="2"/>
      <c r="C24" s="3"/>
      <c r="D24" s="3"/>
      <c r="E24" s="4"/>
      <c r="F24" s="2"/>
      <c r="G24" s="3"/>
      <c r="H24" s="3"/>
      <c r="I24" s="4"/>
      <c r="J24" s="2"/>
      <c r="K24" s="3"/>
      <c r="L24" s="3"/>
      <c r="M24" s="4"/>
      <c r="N24" s="2"/>
      <c r="O24" s="3"/>
      <c r="P24" s="3"/>
      <c r="Q24" s="4"/>
      <c r="R24" s="7"/>
      <c r="S24" s="7"/>
      <c r="T24" s="7">
        <v>7800</v>
      </c>
      <c r="U24" s="7">
        <v>7800</v>
      </c>
      <c r="V24" s="7">
        <v>0</v>
      </c>
      <c r="W24" s="7">
        <v>0</v>
      </c>
      <c r="X24" s="11">
        <v>10000</v>
      </c>
    </row>
    <row r="25" spans="1:24" s="12" customFormat="1" ht="12.75" customHeight="1" x14ac:dyDescent="0.15">
      <c r="A25" s="1" t="s">
        <v>23</v>
      </c>
      <c r="B25" s="3">
        <f>8341.32</f>
        <v>8341.32</v>
      </c>
      <c r="C25" s="3">
        <f>2416</f>
        <v>2416</v>
      </c>
      <c r="D25" s="3">
        <f>(B25)-(C25)</f>
        <v>5925.32</v>
      </c>
      <c r="E25" s="4">
        <f>IF(C25=0,"",(B25)/(C25))</f>
        <v>3.4525331125827812</v>
      </c>
      <c r="F25" s="3">
        <f>4671.74</f>
        <v>4671.74</v>
      </c>
      <c r="G25" s="3">
        <f>2416</f>
        <v>2416</v>
      </c>
      <c r="H25" s="3">
        <f>(F25)-(G25)</f>
        <v>2255.7399999999998</v>
      </c>
      <c r="I25" s="4">
        <f>IF(G25=0,"",(F25)/(G25))</f>
        <v>1.9336672185430464</v>
      </c>
      <c r="J25" s="3">
        <f>3993.36</f>
        <v>3993.36</v>
      </c>
      <c r="K25" s="3">
        <f>2416</f>
        <v>2416</v>
      </c>
      <c r="L25" s="3">
        <f>(J25)-(K25)</f>
        <v>1577.3600000000001</v>
      </c>
      <c r="M25" s="4">
        <f>IF(K25=0,"",(J25)/(K25))</f>
        <v>1.6528807947019868</v>
      </c>
      <c r="N25" s="3">
        <f>3270.86</f>
        <v>3270.86</v>
      </c>
      <c r="O25" s="3">
        <f>2416</f>
        <v>2416</v>
      </c>
      <c r="P25" s="3">
        <f>(N25)-(O25)</f>
        <v>854.86000000000013</v>
      </c>
      <c r="Q25" s="4">
        <f>IF(O25=0,"",(N25)/(O25))</f>
        <v>1.3538327814569537</v>
      </c>
      <c r="R25" s="7">
        <v>37182.44</v>
      </c>
      <c r="S25" s="7">
        <v>32875.629999999997</v>
      </c>
      <c r="T25" s="7">
        <v>37163.71</v>
      </c>
      <c r="U25" s="7">
        <v>37163.71</v>
      </c>
      <c r="V25" s="7">
        <v>40612.81</v>
      </c>
      <c r="W25" s="7">
        <v>37034.06</v>
      </c>
      <c r="X25" s="11">
        <v>35000</v>
      </c>
    </row>
    <row r="26" spans="1:24" s="12" customFormat="1" ht="12.75" customHeight="1" x14ac:dyDescent="0.15">
      <c r="A26" s="1" t="s">
        <v>24</v>
      </c>
      <c r="B26" s="2"/>
      <c r="C26" s="3">
        <f>208</f>
        <v>208</v>
      </c>
      <c r="D26" s="3">
        <f>(B26)-(C26)</f>
        <v>-208</v>
      </c>
      <c r="E26" s="4">
        <f>IF(C26=0,"",(B26)/(C26))</f>
        <v>0</v>
      </c>
      <c r="F26" s="3">
        <f>24.97</f>
        <v>24.97</v>
      </c>
      <c r="G26" s="3">
        <f>208</f>
        <v>208</v>
      </c>
      <c r="H26" s="3">
        <f>(F26)-(G26)</f>
        <v>-183.03</v>
      </c>
      <c r="I26" s="4">
        <f>IF(G26=0,"",(F26)/(G26))</f>
        <v>0.12004807692307692</v>
      </c>
      <c r="J26" s="2"/>
      <c r="K26" s="3">
        <f>208</f>
        <v>208</v>
      </c>
      <c r="L26" s="3">
        <f>(J26)-(K26)</f>
        <v>-208</v>
      </c>
      <c r="M26" s="4">
        <f>IF(K26=0,"",(J26)/(K26))</f>
        <v>0</v>
      </c>
      <c r="N26" s="2"/>
      <c r="O26" s="3">
        <f>208</f>
        <v>208</v>
      </c>
      <c r="P26" s="3">
        <f>(N26)-(O26)</f>
        <v>-208</v>
      </c>
      <c r="Q26" s="4">
        <f>IF(O26=0,"",(N26)/(O26))</f>
        <v>0</v>
      </c>
      <c r="R26" s="7">
        <v>186.97</v>
      </c>
      <c r="S26" s="7">
        <v>1154.76</v>
      </c>
      <c r="T26" s="7">
        <v>3030.52</v>
      </c>
      <c r="U26" s="7">
        <v>3030.52</v>
      </c>
      <c r="V26" s="7">
        <v>1518.18</v>
      </c>
      <c r="W26" s="7">
        <v>17080.830000000002</v>
      </c>
      <c r="X26" s="11">
        <v>1000</v>
      </c>
    </row>
    <row r="27" spans="1:24" s="12" customFormat="1" ht="12.75" customHeight="1" x14ac:dyDescent="0.15">
      <c r="A27" s="1" t="s">
        <v>25</v>
      </c>
      <c r="B27" s="5" t="e">
        <f>(((((((B13)+(B14))+(B18))+(B19))+(B22))+(B23))+(B25))+(B26)</f>
        <v>#REF!</v>
      </c>
      <c r="C27" s="5" t="e">
        <f>(((((((C13)+(C14))+(C18))+(C19))+(C22))+(C23))+(C25))+(C26)</f>
        <v>#REF!</v>
      </c>
      <c r="D27" s="5" t="e">
        <f>(B27)-(C27)</f>
        <v>#REF!</v>
      </c>
      <c r="E27" s="6" t="e">
        <f>IF(C27=0,"",(B27)/(C27))</f>
        <v>#REF!</v>
      </c>
      <c r="F27" s="5" t="e">
        <f>(((((((F13)+(F14))+(F18))+(F19))+(F22))+(F23))+(F25))+(F26)</f>
        <v>#REF!</v>
      </c>
      <c r="G27" s="5" t="e">
        <f>(((((((G13)+(G14))+(G18))+(G19))+(G22))+(G23))+(G25))+(G26)</f>
        <v>#REF!</v>
      </c>
      <c r="H27" s="5" t="e">
        <f>(F27)-(G27)</f>
        <v>#REF!</v>
      </c>
      <c r="I27" s="6" t="e">
        <f>IF(G27=0,"",(F27)/(G27))</f>
        <v>#REF!</v>
      </c>
      <c r="J27" s="5" t="e">
        <f>(((((((J13)+(J14))+(J18))+(J19))+(J22))+(J23))+(J25))+(J26)</f>
        <v>#REF!</v>
      </c>
      <c r="K27" s="5" t="e">
        <f>(((((((K13)+(K14))+(K18))+(K19))+(K22))+(K23))+(K25))+(K26)</f>
        <v>#REF!</v>
      </c>
      <c r="L27" s="5" t="e">
        <f>(J27)-(K27)</f>
        <v>#REF!</v>
      </c>
      <c r="M27" s="6" t="e">
        <f>IF(K27=0,"",(J27)/(K27))</f>
        <v>#REF!</v>
      </c>
      <c r="N27" s="5" t="e">
        <f>(((((((N13)+(N14))+(N18))+(N19))+(N22))+(N23))+(N25))+(N26)</f>
        <v>#REF!</v>
      </c>
      <c r="O27" s="5" t="e">
        <f>(((((((O13)+(O14))+(O18))+(O19))+(O22))+(O23))+(O25))+(O26)</f>
        <v>#REF!</v>
      </c>
      <c r="P27" s="5" t="e">
        <f>(N27)-(O27)</f>
        <v>#REF!</v>
      </c>
      <c r="Q27" s="6" t="e">
        <f>IF(O27=0,"",(N27)/(O27))</f>
        <v>#REF!</v>
      </c>
      <c r="R27" s="13">
        <f>SUM(R13+R14+R18+R19+R20+R22+R23+R25+R26)</f>
        <v>364147.39</v>
      </c>
      <c r="S27" s="13">
        <f>SUM(S13+S14+S18+S19+S20+S22+S23+S25+S26)</f>
        <v>427158.44999999995</v>
      </c>
      <c r="T27" s="13">
        <f>SUM(T13+T14+T18+T19+T20+T22+T23+T24+T25+T26)</f>
        <v>645846.66</v>
      </c>
      <c r="U27" s="13">
        <f>SUM(U13+U14+U18+U19+U20+U22+U23+U24+U25+U26)</f>
        <v>645846.66</v>
      </c>
      <c r="V27" s="13">
        <f>SUM(V13+V14+V18+V19+V20+V21+V22+V23+V24+V25+V26)</f>
        <v>845263.64</v>
      </c>
      <c r="W27" s="13">
        <f>SUM(W13,W14,W18,W19,W20,W21,W22,W23,W24,W25,W26)</f>
        <v>784608.9800000001</v>
      </c>
      <c r="X27" s="19">
        <f>SUM(X18:X26,X14,X13)</f>
        <v>1383000</v>
      </c>
    </row>
    <row r="28" spans="1:24" s="12" customFormat="1" ht="12.75" customHeight="1" x14ac:dyDescent="0.15">
      <c r="A28" s="1" t="s"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0"/>
      <c r="S28" s="10"/>
      <c r="T28" s="10"/>
      <c r="U28" s="10"/>
      <c r="V28" s="10"/>
      <c r="W28" s="10"/>
      <c r="X28" s="11"/>
    </row>
    <row r="29" spans="1:24" s="12" customFormat="1" ht="12.75" customHeight="1" x14ac:dyDescent="0.15">
      <c r="A29" s="1" t="s">
        <v>27</v>
      </c>
      <c r="B29" s="3">
        <f>11694.8</f>
        <v>11694.8</v>
      </c>
      <c r="C29" s="3">
        <f>1679</f>
        <v>1679</v>
      </c>
      <c r="D29" s="3">
        <f>(B29)-(C29)</f>
        <v>10015.799999999999</v>
      </c>
      <c r="E29" s="4">
        <f>IF(C29=0,"",(B29)/(C29))</f>
        <v>6.9653365098272779</v>
      </c>
      <c r="F29" s="3">
        <f>3367.12</f>
        <v>3367.12</v>
      </c>
      <c r="G29" s="3">
        <f>1679</f>
        <v>1679</v>
      </c>
      <c r="H29" s="3">
        <f>(F29)-(G29)</f>
        <v>1688.12</v>
      </c>
      <c r="I29" s="4">
        <f>IF(G29=0,"",(F29)/(G29))</f>
        <v>2.0054318046456223</v>
      </c>
      <c r="J29" s="3">
        <f>2057.16</f>
        <v>2057.16</v>
      </c>
      <c r="K29" s="3">
        <f>1679</f>
        <v>1679</v>
      </c>
      <c r="L29" s="3">
        <f>(J29)-(K29)</f>
        <v>378.15999999999985</v>
      </c>
      <c r="M29" s="4">
        <f>IF(K29=0,"",(J29)/(K29))</f>
        <v>1.2252293031566408</v>
      </c>
      <c r="N29" s="2"/>
      <c r="O29" s="3">
        <f>1679</f>
        <v>1679</v>
      </c>
      <c r="P29" s="3">
        <f>(N29)-(O29)</f>
        <v>-1679</v>
      </c>
      <c r="Q29" s="4">
        <f>IF(O29=0,"",(N29)/(O29))</f>
        <v>0</v>
      </c>
      <c r="R29" s="7">
        <v>27237.17</v>
      </c>
      <c r="S29" s="7">
        <v>25167.98</v>
      </c>
      <c r="T29" s="7">
        <v>22979.1</v>
      </c>
      <c r="U29" s="7">
        <v>22979.1</v>
      </c>
      <c r="V29" s="7">
        <v>16262.29</v>
      </c>
      <c r="W29" s="7">
        <v>24314.1</v>
      </c>
      <c r="X29" s="21">
        <v>20000</v>
      </c>
    </row>
    <row r="30" spans="1:24" s="12" customFormat="1" ht="12.75" customHeight="1" x14ac:dyDescent="0.15">
      <c r="A30" s="1" t="s">
        <v>28</v>
      </c>
      <c r="B30" s="5">
        <f>B29</f>
        <v>11694.8</v>
      </c>
      <c r="C30" s="5">
        <f>C29</f>
        <v>1679</v>
      </c>
      <c r="D30" s="5">
        <f>(B30)-(C30)</f>
        <v>10015.799999999999</v>
      </c>
      <c r="E30" s="6">
        <f>IF(C30=0,"",(B30)/(C30))</f>
        <v>6.9653365098272779</v>
      </c>
      <c r="F30" s="5">
        <f>F29</f>
        <v>3367.12</v>
      </c>
      <c r="G30" s="5">
        <f>G29</f>
        <v>1679</v>
      </c>
      <c r="H30" s="5">
        <f>(F30)-(G30)</f>
        <v>1688.12</v>
      </c>
      <c r="I30" s="6">
        <f>IF(G30=0,"",(F30)/(G30))</f>
        <v>2.0054318046456223</v>
      </c>
      <c r="J30" s="5">
        <f>J29</f>
        <v>2057.16</v>
      </c>
      <c r="K30" s="5">
        <f>K29</f>
        <v>1679</v>
      </c>
      <c r="L30" s="5">
        <f>(J30)-(K30)</f>
        <v>378.15999999999985</v>
      </c>
      <c r="M30" s="6">
        <f>IF(K30=0,"",(J30)/(K30))</f>
        <v>1.2252293031566408</v>
      </c>
      <c r="N30" s="5">
        <f>N29</f>
        <v>0</v>
      </c>
      <c r="O30" s="5">
        <f>O29</f>
        <v>1679</v>
      </c>
      <c r="P30" s="5">
        <f>(N30)-(O30)</f>
        <v>-1679</v>
      </c>
      <c r="Q30" s="6">
        <f>IF(O30=0,"",(N30)/(O30))</f>
        <v>0</v>
      </c>
      <c r="R30" s="13">
        <f t="shared" ref="R30:W30" si="9">SUM(R29)</f>
        <v>27237.17</v>
      </c>
      <c r="S30" s="13">
        <f t="shared" si="9"/>
        <v>25167.98</v>
      </c>
      <c r="T30" s="13">
        <f t="shared" si="9"/>
        <v>22979.1</v>
      </c>
      <c r="U30" s="13">
        <f t="shared" si="9"/>
        <v>22979.1</v>
      </c>
      <c r="V30" s="13">
        <f t="shared" si="9"/>
        <v>16262.29</v>
      </c>
      <c r="W30" s="13">
        <f t="shared" si="9"/>
        <v>24314.1</v>
      </c>
      <c r="X30" s="20">
        <v>20000</v>
      </c>
    </row>
    <row r="31" spans="1:24" s="12" customFormat="1" ht="12.75" customHeight="1" x14ac:dyDescent="0.15">
      <c r="A31" s="1" t="s">
        <v>29</v>
      </c>
      <c r="B31" s="5" t="e">
        <f>(B27)-(B30)</f>
        <v>#REF!</v>
      </c>
      <c r="C31" s="5" t="e">
        <f>(C27)-(C30)</f>
        <v>#REF!</v>
      </c>
      <c r="D31" s="5" t="e">
        <f>(B31)-(C31)</f>
        <v>#REF!</v>
      </c>
      <c r="E31" s="6" t="e">
        <f>IF(C31=0,"",(B31)/(C31))</f>
        <v>#REF!</v>
      </c>
      <c r="F31" s="5" t="e">
        <f>(F27)-(F30)</f>
        <v>#REF!</v>
      </c>
      <c r="G31" s="5" t="e">
        <f>(G27)-(G30)</f>
        <v>#REF!</v>
      </c>
      <c r="H31" s="5" t="e">
        <f>(F31)-(G31)</f>
        <v>#REF!</v>
      </c>
      <c r="I31" s="6" t="e">
        <f>IF(G31=0,"",(F31)/(G31))</f>
        <v>#REF!</v>
      </c>
      <c r="J31" s="5" t="e">
        <f>(J27)-(J30)</f>
        <v>#REF!</v>
      </c>
      <c r="K31" s="5" t="e">
        <f>(K27)-(K30)</f>
        <v>#REF!</v>
      </c>
      <c r="L31" s="5" t="e">
        <f>(J31)-(K31)</f>
        <v>#REF!</v>
      </c>
      <c r="M31" s="6" t="e">
        <f>IF(K31=0,"",(J31)/(K31))</f>
        <v>#REF!</v>
      </c>
      <c r="N31" s="5" t="e">
        <f>(N27)-(N30)</f>
        <v>#REF!</v>
      </c>
      <c r="O31" s="5" t="e">
        <f>(O27)-(O30)</f>
        <v>#REF!</v>
      </c>
      <c r="P31" s="5" t="e">
        <f>(N31)-(O31)</f>
        <v>#REF!</v>
      </c>
      <c r="Q31" s="6" t="e">
        <f>IF(O31=0,"",(N31)/(O31))</f>
        <v>#REF!</v>
      </c>
      <c r="R31" s="13">
        <f t="shared" ref="R31:W31" si="10">SUM(R27-R30)</f>
        <v>336910.22000000003</v>
      </c>
      <c r="S31" s="13">
        <f t="shared" si="10"/>
        <v>401990.47</v>
      </c>
      <c r="T31" s="13">
        <f t="shared" si="10"/>
        <v>622867.56000000006</v>
      </c>
      <c r="U31" s="13">
        <f t="shared" si="10"/>
        <v>622867.56000000006</v>
      </c>
      <c r="V31" s="13">
        <f t="shared" si="10"/>
        <v>829001.35</v>
      </c>
      <c r="W31" s="13">
        <f t="shared" si="10"/>
        <v>760294.88000000012</v>
      </c>
      <c r="X31" s="18">
        <f>SUM(X27)-X30</f>
        <v>1363000</v>
      </c>
    </row>
    <row r="32" spans="1:24" s="12" customFormat="1" ht="12.75" customHeight="1" x14ac:dyDescent="0.15">
      <c r="A32" s="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0"/>
      <c r="S32" s="10"/>
      <c r="T32" s="10"/>
      <c r="U32" s="10"/>
      <c r="V32" s="10"/>
      <c r="W32" s="10"/>
      <c r="X32" s="11"/>
    </row>
    <row r="33" spans="1:24" s="12" customFormat="1" ht="12.75" customHeight="1" x14ac:dyDescent="0.15">
      <c r="A33" s="1" t="s">
        <v>31</v>
      </c>
      <c r="B33" s="2"/>
      <c r="C33" s="3">
        <f>0</f>
        <v>0</v>
      </c>
      <c r="D33" s="3">
        <f t="shared" ref="D33:D45" si="11">(B33)-(C33)</f>
        <v>0</v>
      </c>
      <c r="E33" s="4" t="str">
        <f t="shared" ref="E33:E45" si="12">IF(C33=0,"",(B33)/(C33))</f>
        <v/>
      </c>
      <c r="F33" s="2"/>
      <c r="G33" s="3">
        <f>0</f>
        <v>0</v>
      </c>
      <c r="H33" s="3">
        <f t="shared" ref="H33:H45" si="13">(F33)-(G33)</f>
        <v>0</v>
      </c>
      <c r="I33" s="4" t="str">
        <f t="shared" ref="I33:I45" si="14">IF(G33=0,"",(F33)/(G33))</f>
        <v/>
      </c>
      <c r="J33" s="2"/>
      <c r="K33" s="3">
        <f>0</f>
        <v>0</v>
      </c>
      <c r="L33" s="3">
        <f t="shared" ref="L33:L45" si="15">(J33)-(K33)</f>
        <v>0</v>
      </c>
      <c r="M33" s="4" t="str">
        <f t="shared" ref="M33:M45" si="16">IF(K33=0,"",(J33)/(K33))</f>
        <v/>
      </c>
      <c r="N33" s="2"/>
      <c r="O33" s="3">
        <f>0</f>
        <v>0</v>
      </c>
      <c r="P33" s="3">
        <f t="shared" ref="P33:P45" si="17">(N33)-(O33)</f>
        <v>0</v>
      </c>
      <c r="Q33" s="4" t="str">
        <f t="shared" ref="Q33:Q45" si="18">IF(O33=0,"",(N33)/(O33))</f>
        <v/>
      </c>
      <c r="R33" s="11"/>
      <c r="S33" s="11"/>
      <c r="T33" s="11"/>
      <c r="U33" s="11"/>
      <c r="V33" s="11"/>
      <c r="W33" s="11"/>
      <c r="X33" s="11"/>
    </row>
    <row r="34" spans="1:24" s="12" customFormat="1" ht="12.75" customHeight="1" x14ac:dyDescent="0.15">
      <c r="A34" s="1" t="s">
        <v>32</v>
      </c>
      <c r="B34" s="3">
        <f>4424</f>
        <v>4424</v>
      </c>
      <c r="C34" s="3">
        <f>10230</f>
        <v>10230</v>
      </c>
      <c r="D34" s="3">
        <f t="shared" si="11"/>
        <v>-5806</v>
      </c>
      <c r="E34" s="4">
        <f t="shared" si="12"/>
        <v>0.43245356793743889</v>
      </c>
      <c r="F34" s="3">
        <f>4678.16</f>
        <v>4678.16</v>
      </c>
      <c r="G34" s="3">
        <f>10230</f>
        <v>10230</v>
      </c>
      <c r="H34" s="3">
        <f t="shared" si="13"/>
        <v>-5551.84</v>
      </c>
      <c r="I34" s="4">
        <f t="shared" si="14"/>
        <v>0.45729814271749752</v>
      </c>
      <c r="J34" s="3">
        <f>4416.16</f>
        <v>4416.16</v>
      </c>
      <c r="K34" s="3">
        <f>10230</f>
        <v>10230</v>
      </c>
      <c r="L34" s="3">
        <f t="shared" si="15"/>
        <v>-5813.84</v>
      </c>
      <c r="M34" s="4">
        <f t="shared" si="16"/>
        <v>0.43168719452590421</v>
      </c>
      <c r="N34" s="3">
        <f>5289.66</f>
        <v>5289.66</v>
      </c>
      <c r="O34" s="3">
        <f>10230</f>
        <v>10230</v>
      </c>
      <c r="P34" s="3">
        <f t="shared" si="17"/>
        <v>-4940.34</v>
      </c>
      <c r="Q34" s="4">
        <f t="shared" si="18"/>
        <v>0.51707331378299115</v>
      </c>
      <c r="R34" s="7">
        <v>123658.26</v>
      </c>
      <c r="S34" s="7">
        <v>142758.75</v>
      </c>
      <c r="T34" s="7">
        <v>196480.02</v>
      </c>
      <c r="U34" s="7">
        <v>196480.02</v>
      </c>
      <c r="V34" s="7">
        <v>236054.59</v>
      </c>
      <c r="W34" s="7">
        <v>280943.34000000003</v>
      </c>
      <c r="X34" s="11">
        <v>330000</v>
      </c>
    </row>
    <row r="35" spans="1:24" s="12" customFormat="1" ht="12.75" customHeight="1" x14ac:dyDescent="0.15">
      <c r="A35" s="1" t="s">
        <v>33</v>
      </c>
      <c r="B35" s="3">
        <f>654.35</f>
        <v>654.35</v>
      </c>
      <c r="C35" s="3">
        <f>669</f>
        <v>669</v>
      </c>
      <c r="D35" s="3">
        <f t="shared" si="11"/>
        <v>-14.649999999999977</v>
      </c>
      <c r="E35" s="4">
        <f t="shared" si="12"/>
        <v>0.97810164424514201</v>
      </c>
      <c r="F35" s="3">
        <f>724.26</f>
        <v>724.26</v>
      </c>
      <c r="G35" s="3">
        <f>669</f>
        <v>669</v>
      </c>
      <c r="H35" s="3">
        <f t="shared" si="13"/>
        <v>55.259999999999991</v>
      </c>
      <c r="I35" s="4">
        <f t="shared" si="14"/>
        <v>1.0826008968609866</v>
      </c>
      <c r="J35" s="3">
        <f>982.74</f>
        <v>982.74</v>
      </c>
      <c r="K35" s="3">
        <f>669</f>
        <v>669</v>
      </c>
      <c r="L35" s="3">
        <f t="shared" si="15"/>
        <v>313.74</v>
      </c>
      <c r="M35" s="4">
        <f t="shared" si="16"/>
        <v>1.4689686098654708</v>
      </c>
      <c r="N35" s="3">
        <f>775.42</f>
        <v>775.42</v>
      </c>
      <c r="O35" s="3">
        <f>669</f>
        <v>669</v>
      </c>
      <c r="P35" s="3">
        <f t="shared" si="17"/>
        <v>106.41999999999996</v>
      </c>
      <c r="Q35" s="4">
        <f t="shared" si="18"/>
        <v>1.1590732436472346</v>
      </c>
      <c r="R35" s="7">
        <v>9277.7000000000007</v>
      </c>
      <c r="S35" s="7">
        <v>10892.43</v>
      </c>
      <c r="T35" s="7">
        <v>14643.56</v>
      </c>
      <c r="U35" s="7">
        <v>14643.56</v>
      </c>
      <c r="V35" s="7">
        <v>17936.759999999998</v>
      </c>
      <c r="W35" s="7">
        <v>22794.5</v>
      </c>
      <c r="X35" s="11">
        <f>SUM(X34*0.074)</f>
        <v>24420</v>
      </c>
    </row>
    <row r="36" spans="1:24" s="12" customFormat="1" ht="12.75" customHeight="1" x14ac:dyDescent="0.15">
      <c r="A36" s="1" t="s">
        <v>81</v>
      </c>
      <c r="B36" s="3"/>
      <c r="C36" s="3"/>
      <c r="D36" s="3"/>
      <c r="E36" s="4"/>
      <c r="F36" s="3"/>
      <c r="G36" s="3"/>
      <c r="H36" s="3"/>
      <c r="I36" s="4"/>
      <c r="J36" s="3"/>
      <c r="K36" s="3"/>
      <c r="L36" s="3"/>
      <c r="M36" s="4"/>
      <c r="N36" s="3"/>
      <c r="O36" s="3"/>
      <c r="P36" s="3"/>
      <c r="Q36" s="4"/>
      <c r="R36" s="7">
        <v>0</v>
      </c>
      <c r="S36" s="7">
        <v>0</v>
      </c>
      <c r="T36" s="7">
        <v>0</v>
      </c>
      <c r="U36" s="7">
        <v>0</v>
      </c>
      <c r="V36" s="7">
        <v>3200</v>
      </c>
      <c r="W36" s="7">
        <v>9617.92</v>
      </c>
      <c r="X36" s="11">
        <v>12000</v>
      </c>
    </row>
    <row r="37" spans="1:24" s="12" customFormat="1" ht="12.75" customHeight="1" x14ac:dyDescent="0.15">
      <c r="A37" s="1" t="s">
        <v>34</v>
      </c>
      <c r="B37" s="5" t="e">
        <f>(((B33)+(B34))+(#REF!))+(B35)</f>
        <v>#REF!</v>
      </c>
      <c r="C37" s="5" t="e">
        <f>(((C33)+(C34))+(#REF!))+(C35)</f>
        <v>#REF!</v>
      </c>
      <c r="D37" s="5" t="e">
        <f t="shared" si="11"/>
        <v>#REF!</v>
      </c>
      <c r="E37" s="6" t="e">
        <f t="shared" si="12"/>
        <v>#REF!</v>
      </c>
      <c r="F37" s="5" t="e">
        <f>(((F33)+(F34))+(#REF!))+(F35)</f>
        <v>#REF!</v>
      </c>
      <c r="G37" s="5" t="e">
        <f>(((G33)+(G34))+(#REF!))+(G35)</f>
        <v>#REF!</v>
      </c>
      <c r="H37" s="5" t="e">
        <f t="shared" si="13"/>
        <v>#REF!</v>
      </c>
      <c r="I37" s="6" t="e">
        <f t="shared" si="14"/>
        <v>#REF!</v>
      </c>
      <c r="J37" s="5" t="e">
        <f>(((J33)+(J34))+(#REF!))+(J35)</f>
        <v>#REF!</v>
      </c>
      <c r="K37" s="5" t="e">
        <f>(((K33)+(K34))+(#REF!))+(K35)</f>
        <v>#REF!</v>
      </c>
      <c r="L37" s="5" t="e">
        <f t="shared" si="15"/>
        <v>#REF!</v>
      </c>
      <c r="M37" s="6" t="e">
        <f t="shared" si="16"/>
        <v>#REF!</v>
      </c>
      <c r="N37" s="5" t="e">
        <f>(((N33)+(N34))+(#REF!))+(N35)</f>
        <v>#REF!</v>
      </c>
      <c r="O37" s="5" t="e">
        <f>(((O33)+(O34))+(#REF!))+(O35)</f>
        <v>#REF!</v>
      </c>
      <c r="P37" s="5" t="e">
        <f t="shared" si="17"/>
        <v>#REF!</v>
      </c>
      <c r="Q37" s="6" t="e">
        <f t="shared" si="18"/>
        <v>#REF!</v>
      </c>
      <c r="R37" s="13">
        <f>SUM(R34:R36)</f>
        <v>132935.96</v>
      </c>
      <c r="S37" s="13">
        <f>SUM(S34:S36)</f>
        <v>153651.18</v>
      </c>
      <c r="T37" s="13">
        <f>SUM(T34:T36)</f>
        <v>211123.58</v>
      </c>
      <c r="U37" s="13" t="e">
        <f>SUM(U34+#REF!+U35)</f>
        <v>#REF!</v>
      </c>
      <c r="V37" s="13">
        <f>SUM(V34+V35+V36)</f>
        <v>257191.35</v>
      </c>
      <c r="W37" s="13">
        <f>SUM(W34:W36)</f>
        <v>313355.76</v>
      </c>
      <c r="X37" s="19">
        <f>SUM(X34:X36)</f>
        <v>366420</v>
      </c>
    </row>
    <row r="38" spans="1:24" s="12" customFormat="1" ht="12.75" customHeight="1" x14ac:dyDescent="0.15">
      <c r="A38" s="1" t="s">
        <v>35</v>
      </c>
      <c r="B38" s="3">
        <f>400</f>
        <v>400</v>
      </c>
      <c r="C38" s="3">
        <f>400</f>
        <v>400</v>
      </c>
      <c r="D38" s="3">
        <f t="shared" si="11"/>
        <v>0</v>
      </c>
      <c r="E38" s="4">
        <f t="shared" si="12"/>
        <v>1</v>
      </c>
      <c r="F38" s="3">
        <f>400</f>
        <v>400</v>
      </c>
      <c r="G38" s="3">
        <f>400</f>
        <v>400</v>
      </c>
      <c r="H38" s="3">
        <f t="shared" si="13"/>
        <v>0</v>
      </c>
      <c r="I38" s="4">
        <f t="shared" si="14"/>
        <v>1</v>
      </c>
      <c r="J38" s="3">
        <f>410</f>
        <v>410</v>
      </c>
      <c r="K38" s="3">
        <f>400</f>
        <v>400</v>
      </c>
      <c r="L38" s="3">
        <f t="shared" si="15"/>
        <v>10</v>
      </c>
      <c r="M38" s="4">
        <f t="shared" si="16"/>
        <v>1.0249999999999999</v>
      </c>
      <c r="N38" s="3">
        <f>410</f>
        <v>410</v>
      </c>
      <c r="O38" s="3">
        <f>400</f>
        <v>400</v>
      </c>
      <c r="P38" s="3">
        <f t="shared" si="17"/>
        <v>10</v>
      </c>
      <c r="Q38" s="4">
        <f t="shared" si="18"/>
        <v>1.0249999999999999</v>
      </c>
      <c r="R38" s="7">
        <v>4900</v>
      </c>
      <c r="S38" s="7">
        <v>6926.52</v>
      </c>
      <c r="T38" s="7">
        <v>8904.49</v>
      </c>
      <c r="U38" s="7">
        <v>8904.49</v>
      </c>
      <c r="V38" s="7">
        <v>9446.0300000000007</v>
      </c>
      <c r="W38" s="7">
        <v>9873.86</v>
      </c>
      <c r="X38" s="11">
        <v>9975</v>
      </c>
    </row>
    <row r="39" spans="1:24" s="12" customFormat="1" ht="12.75" customHeight="1" x14ac:dyDescent="0.15">
      <c r="A39" s="1" t="s">
        <v>36</v>
      </c>
      <c r="B39" s="2"/>
      <c r="C39" s="3">
        <f>25</f>
        <v>25</v>
      </c>
      <c r="D39" s="3">
        <f t="shared" si="11"/>
        <v>-25</v>
      </c>
      <c r="E39" s="4">
        <f t="shared" si="12"/>
        <v>0</v>
      </c>
      <c r="F39" s="2"/>
      <c r="G39" s="3">
        <f>25</f>
        <v>25</v>
      </c>
      <c r="H39" s="3">
        <f t="shared" si="13"/>
        <v>-25</v>
      </c>
      <c r="I39" s="4">
        <f t="shared" si="14"/>
        <v>0</v>
      </c>
      <c r="J39" s="2"/>
      <c r="K39" s="3">
        <f>25</f>
        <v>25</v>
      </c>
      <c r="L39" s="3">
        <f t="shared" si="15"/>
        <v>-25</v>
      </c>
      <c r="M39" s="4">
        <f t="shared" si="16"/>
        <v>0</v>
      </c>
      <c r="N39" s="2"/>
      <c r="O39" s="3">
        <f>25</f>
        <v>25</v>
      </c>
      <c r="P39" s="3">
        <f t="shared" si="17"/>
        <v>-25</v>
      </c>
      <c r="Q39" s="4">
        <f t="shared" si="18"/>
        <v>0</v>
      </c>
      <c r="R39" s="7">
        <v>854.54</v>
      </c>
      <c r="S39" s="7">
        <v>0</v>
      </c>
      <c r="T39" s="7">
        <v>19.53</v>
      </c>
      <c r="U39" s="7">
        <v>19.53</v>
      </c>
      <c r="V39" s="7">
        <v>10122.49</v>
      </c>
      <c r="W39" s="7">
        <v>3646.26</v>
      </c>
      <c r="X39" s="11">
        <v>2500</v>
      </c>
    </row>
    <row r="40" spans="1:24" s="12" customFormat="1" ht="12.75" customHeight="1" x14ac:dyDescent="0.15">
      <c r="A40" s="1" t="s">
        <v>37</v>
      </c>
      <c r="B40" s="2"/>
      <c r="C40" s="3">
        <f>216</f>
        <v>216</v>
      </c>
      <c r="D40" s="3">
        <f t="shared" si="11"/>
        <v>-216</v>
      </c>
      <c r="E40" s="4">
        <f t="shared" si="12"/>
        <v>0</v>
      </c>
      <c r="F40" s="3">
        <f>248</f>
        <v>248</v>
      </c>
      <c r="G40" s="3">
        <f>216</f>
        <v>216</v>
      </c>
      <c r="H40" s="3">
        <f t="shared" si="13"/>
        <v>32</v>
      </c>
      <c r="I40" s="4">
        <f t="shared" si="14"/>
        <v>1.1481481481481481</v>
      </c>
      <c r="J40" s="3">
        <f>149</f>
        <v>149</v>
      </c>
      <c r="K40" s="3">
        <f>216</f>
        <v>216</v>
      </c>
      <c r="L40" s="3">
        <f t="shared" si="15"/>
        <v>-67</v>
      </c>
      <c r="M40" s="4">
        <f t="shared" si="16"/>
        <v>0.68981481481481477</v>
      </c>
      <c r="N40" s="3">
        <f>240.2</f>
        <v>240.2</v>
      </c>
      <c r="O40" s="3">
        <f>216</f>
        <v>216</v>
      </c>
      <c r="P40" s="3">
        <f t="shared" si="17"/>
        <v>24.199999999999989</v>
      </c>
      <c r="Q40" s="4">
        <f t="shared" si="18"/>
        <v>1.1120370370370369</v>
      </c>
      <c r="R40" s="7">
        <v>4192.2</v>
      </c>
      <c r="S40" s="7">
        <v>7210.43</v>
      </c>
      <c r="T40" s="7">
        <v>14477.66</v>
      </c>
      <c r="U40" s="7">
        <v>14477.66</v>
      </c>
      <c r="V40" s="7">
        <v>15426.6</v>
      </c>
      <c r="W40" s="7">
        <v>17019.400000000001</v>
      </c>
      <c r="X40" s="11">
        <v>18500</v>
      </c>
    </row>
    <row r="41" spans="1:24" s="12" customFormat="1" ht="12.75" customHeight="1" x14ac:dyDescent="0.15">
      <c r="A41" s="1" t="s">
        <v>38</v>
      </c>
      <c r="B41" s="3">
        <f>5240.13</f>
        <v>5240.13</v>
      </c>
      <c r="C41" s="3">
        <f>775</f>
        <v>775</v>
      </c>
      <c r="D41" s="3">
        <f t="shared" si="11"/>
        <v>4465.13</v>
      </c>
      <c r="E41" s="4">
        <f t="shared" si="12"/>
        <v>6.7614580645161295</v>
      </c>
      <c r="F41" s="2"/>
      <c r="G41" s="3">
        <f>775</f>
        <v>775</v>
      </c>
      <c r="H41" s="3">
        <f t="shared" si="13"/>
        <v>-775</v>
      </c>
      <c r="I41" s="4">
        <f t="shared" si="14"/>
        <v>0</v>
      </c>
      <c r="J41" s="3">
        <f>319.66</f>
        <v>319.66000000000003</v>
      </c>
      <c r="K41" s="3">
        <f>775</f>
        <v>775</v>
      </c>
      <c r="L41" s="3">
        <f t="shared" si="15"/>
        <v>-455.34</v>
      </c>
      <c r="M41" s="4">
        <f t="shared" si="16"/>
        <v>0.41246451612903229</v>
      </c>
      <c r="N41" s="3">
        <f>1441.81</f>
        <v>1441.81</v>
      </c>
      <c r="O41" s="3">
        <f>775</f>
        <v>775</v>
      </c>
      <c r="P41" s="3">
        <f t="shared" si="17"/>
        <v>666.81</v>
      </c>
      <c r="Q41" s="4">
        <f t="shared" si="18"/>
        <v>1.8603999999999998</v>
      </c>
      <c r="R41" s="7">
        <v>10684.12</v>
      </c>
      <c r="S41" s="7">
        <v>8115.12</v>
      </c>
      <c r="T41" s="7">
        <v>7727.27</v>
      </c>
      <c r="U41" s="7">
        <v>7727.27</v>
      </c>
      <c r="V41" s="7">
        <v>8264.44</v>
      </c>
      <c r="W41" s="7">
        <v>11281.7</v>
      </c>
      <c r="X41" s="11">
        <v>10000</v>
      </c>
    </row>
    <row r="42" spans="1:24" s="12" customFormat="1" ht="12.75" customHeight="1" x14ac:dyDescent="0.15">
      <c r="A42" s="1" t="s">
        <v>39</v>
      </c>
      <c r="B42" s="3">
        <f>1093.33</f>
        <v>1093.33</v>
      </c>
      <c r="C42" s="3">
        <f>283</f>
        <v>283</v>
      </c>
      <c r="D42" s="3">
        <f t="shared" si="11"/>
        <v>810.32999999999993</v>
      </c>
      <c r="E42" s="4">
        <f t="shared" si="12"/>
        <v>3.8633568904593636</v>
      </c>
      <c r="F42" s="3">
        <f>233.86</f>
        <v>233.86</v>
      </c>
      <c r="G42" s="3">
        <f>283</f>
        <v>283</v>
      </c>
      <c r="H42" s="3">
        <f t="shared" si="13"/>
        <v>-49.139999999999986</v>
      </c>
      <c r="I42" s="4">
        <f t="shared" si="14"/>
        <v>0.82636042402826859</v>
      </c>
      <c r="J42" s="3">
        <f>462.67</f>
        <v>462.67</v>
      </c>
      <c r="K42" s="3">
        <f>283</f>
        <v>283</v>
      </c>
      <c r="L42" s="3">
        <f t="shared" si="15"/>
        <v>179.67000000000002</v>
      </c>
      <c r="M42" s="4">
        <f t="shared" si="16"/>
        <v>1.6348763250883394</v>
      </c>
      <c r="N42" s="3">
        <f>187.56</f>
        <v>187.56</v>
      </c>
      <c r="O42" s="3">
        <f>283</f>
        <v>283</v>
      </c>
      <c r="P42" s="3">
        <f t="shared" si="17"/>
        <v>-95.44</v>
      </c>
      <c r="Q42" s="4">
        <f t="shared" si="18"/>
        <v>0.66275618374558309</v>
      </c>
      <c r="R42" s="7">
        <v>4935.24</v>
      </c>
      <c r="S42" s="7">
        <v>4249.03</v>
      </c>
      <c r="T42" s="7">
        <v>8328.2999999999993</v>
      </c>
      <c r="U42" s="7">
        <v>8328.2999999999993</v>
      </c>
      <c r="V42" s="7">
        <v>9907.52</v>
      </c>
      <c r="W42" s="7">
        <v>8827.4500000000007</v>
      </c>
      <c r="X42" s="11">
        <v>7500</v>
      </c>
    </row>
    <row r="43" spans="1:24" s="12" customFormat="1" ht="12.75" customHeight="1" x14ac:dyDescent="0.15">
      <c r="A43" s="1" t="s">
        <v>40</v>
      </c>
      <c r="B43" s="3">
        <f>129.4</f>
        <v>129.4</v>
      </c>
      <c r="C43" s="3">
        <f>618</f>
        <v>618</v>
      </c>
      <c r="D43" s="3">
        <f t="shared" si="11"/>
        <v>-488.6</v>
      </c>
      <c r="E43" s="4">
        <f t="shared" si="12"/>
        <v>0.20938511326860842</v>
      </c>
      <c r="F43" s="3">
        <f>71.4</f>
        <v>71.400000000000006</v>
      </c>
      <c r="G43" s="3">
        <f>618</f>
        <v>618</v>
      </c>
      <c r="H43" s="3">
        <f t="shared" si="13"/>
        <v>-546.6</v>
      </c>
      <c r="I43" s="4">
        <f t="shared" si="14"/>
        <v>0.11553398058252429</v>
      </c>
      <c r="J43" s="3">
        <f>494.06</f>
        <v>494.06</v>
      </c>
      <c r="K43" s="3">
        <f>618</f>
        <v>618</v>
      </c>
      <c r="L43" s="3">
        <f t="shared" si="15"/>
        <v>-123.94</v>
      </c>
      <c r="M43" s="4">
        <f t="shared" si="16"/>
        <v>0.79944983818770232</v>
      </c>
      <c r="N43" s="3">
        <f>227.44</f>
        <v>227.44</v>
      </c>
      <c r="O43" s="3">
        <f>618</f>
        <v>618</v>
      </c>
      <c r="P43" s="3">
        <f t="shared" si="17"/>
        <v>-390.56</v>
      </c>
      <c r="Q43" s="4">
        <f t="shared" si="18"/>
        <v>0.36802588996763752</v>
      </c>
      <c r="R43" s="7">
        <v>8273.3700000000008</v>
      </c>
      <c r="S43" s="7">
        <v>8645.99</v>
      </c>
      <c r="T43" s="7">
        <v>9179.2900000000009</v>
      </c>
      <c r="U43" s="7">
        <v>9179.2900000000009</v>
      </c>
      <c r="V43" s="7">
        <v>5342.36</v>
      </c>
      <c r="W43" s="7">
        <v>9262.26</v>
      </c>
      <c r="X43" s="11">
        <v>10000</v>
      </c>
    </row>
    <row r="44" spans="1:24" s="12" customFormat="1" ht="12.75" customHeight="1" x14ac:dyDescent="0.15">
      <c r="A44" s="1" t="s">
        <v>41</v>
      </c>
      <c r="B44" s="3">
        <f>55</f>
        <v>55</v>
      </c>
      <c r="C44" s="3">
        <f>83</f>
        <v>83</v>
      </c>
      <c r="D44" s="3">
        <f t="shared" si="11"/>
        <v>-28</v>
      </c>
      <c r="E44" s="4">
        <f t="shared" si="12"/>
        <v>0.66265060240963858</v>
      </c>
      <c r="F44" s="2"/>
      <c r="G44" s="3">
        <f>83</f>
        <v>83</v>
      </c>
      <c r="H44" s="3">
        <f t="shared" si="13"/>
        <v>-83</v>
      </c>
      <c r="I44" s="4">
        <f t="shared" si="14"/>
        <v>0</v>
      </c>
      <c r="J44" s="2"/>
      <c r="K44" s="3">
        <f>83</f>
        <v>83</v>
      </c>
      <c r="L44" s="3">
        <f t="shared" si="15"/>
        <v>-83</v>
      </c>
      <c r="M44" s="4">
        <f t="shared" si="16"/>
        <v>0</v>
      </c>
      <c r="N44" s="2"/>
      <c r="O44" s="3">
        <f>83</f>
        <v>83</v>
      </c>
      <c r="P44" s="3">
        <f t="shared" si="17"/>
        <v>-83</v>
      </c>
      <c r="Q44" s="4">
        <f t="shared" si="18"/>
        <v>0</v>
      </c>
      <c r="R44" s="7">
        <v>790</v>
      </c>
      <c r="S44" s="7">
        <v>1169.5</v>
      </c>
      <c r="T44" s="7">
        <v>2984.95</v>
      </c>
      <c r="U44" s="7">
        <v>2984.95</v>
      </c>
      <c r="V44" s="7">
        <v>4076.9</v>
      </c>
      <c r="W44" s="7">
        <v>2754.72</v>
      </c>
      <c r="X44" s="11">
        <v>3000</v>
      </c>
    </row>
    <row r="45" spans="1:24" s="12" customFormat="1" ht="12.75" customHeight="1" x14ac:dyDescent="0.15">
      <c r="A45" s="1" t="s">
        <v>42</v>
      </c>
      <c r="B45" s="2"/>
      <c r="C45" s="3">
        <f>100</f>
        <v>100</v>
      </c>
      <c r="D45" s="3">
        <f t="shared" si="11"/>
        <v>-100</v>
      </c>
      <c r="E45" s="4">
        <f t="shared" si="12"/>
        <v>0</v>
      </c>
      <c r="F45" s="2"/>
      <c r="G45" s="3">
        <f>100</f>
        <v>100</v>
      </c>
      <c r="H45" s="3">
        <f t="shared" si="13"/>
        <v>-100</v>
      </c>
      <c r="I45" s="4">
        <f t="shared" si="14"/>
        <v>0</v>
      </c>
      <c r="J45" s="2"/>
      <c r="K45" s="3">
        <f>100</f>
        <v>100</v>
      </c>
      <c r="L45" s="3">
        <f t="shared" si="15"/>
        <v>-100</v>
      </c>
      <c r="M45" s="4">
        <f t="shared" si="16"/>
        <v>0</v>
      </c>
      <c r="N45" s="2"/>
      <c r="O45" s="3">
        <f>100</f>
        <v>100</v>
      </c>
      <c r="P45" s="3">
        <f t="shared" si="17"/>
        <v>-100</v>
      </c>
      <c r="Q45" s="4">
        <f t="shared" si="18"/>
        <v>0</v>
      </c>
      <c r="R45" s="7">
        <v>1561.68</v>
      </c>
      <c r="S45" s="7">
        <v>1849</v>
      </c>
      <c r="T45" s="7">
        <v>3717.01</v>
      </c>
      <c r="U45" s="7">
        <v>3717.01</v>
      </c>
      <c r="V45" s="7">
        <v>796.95</v>
      </c>
      <c r="W45" s="7">
        <v>2532.62</v>
      </c>
      <c r="X45" s="11">
        <v>2400</v>
      </c>
    </row>
    <row r="46" spans="1:24" s="12" customFormat="1" ht="12.75" customHeight="1" x14ac:dyDescent="0.15">
      <c r="A46" s="1" t="s">
        <v>78</v>
      </c>
      <c r="B46" s="2"/>
      <c r="C46" s="3"/>
      <c r="D46" s="3"/>
      <c r="E46" s="4"/>
      <c r="F46" s="2"/>
      <c r="G46" s="3"/>
      <c r="H46" s="3"/>
      <c r="I46" s="4"/>
      <c r="J46" s="2"/>
      <c r="K46" s="3"/>
      <c r="L46" s="3"/>
      <c r="M46" s="4"/>
      <c r="N46" s="2"/>
      <c r="O46" s="3"/>
      <c r="P46" s="3"/>
      <c r="Q46" s="4"/>
      <c r="R46" s="7">
        <v>0</v>
      </c>
      <c r="S46" s="7">
        <v>0</v>
      </c>
      <c r="T46" s="7">
        <v>561.92999999999995</v>
      </c>
      <c r="U46" s="7">
        <v>561.92999999999995</v>
      </c>
      <c r="V46" s="7">
        <v>816</v>
      </c>
      <c r="W46" s="7">
        <v>1700.43</v>
      </c>
      <c r="X46" s="11">
        <v>1700</v>
      </c>
    </row>
    <row r="47" spans="1:24" s="12" customFormat="1" ht="12.75" customHeight="1" x14ac:dyDescent="0.15">
      <c r="A47" s="1" t="s">
        <v>43</v>
      </c>
      <c r="B47" s="2"/>
      <c r="C47" s="3"/>
      <c r="D47" s="3"/>
      <c r="E47" s="4"/>
      <c r="F47" s="2"/>
      <c r="G47" s="3"/>
      <c r="H47" s="3"/>
      <c r="I47" s="4"/>
      <c r="J47" s="2"/>
      <c r="K47" s="3"/>
      <c r="L47" s="3"/>
      <c r="M47" s="4"/>
      <c r="N47" s="2"/>
      <c r="O47" s="3"/>
      <c r="P47" s="3"/>
      <c r="Q47" s="4"/>
      <c r="R47" s="7">
        <v>80</v>
      </c>
      <c r="S47" s="7">
        <v>80</v>
      </c>
      <c r="T47" s="7">
        <v>60</v>
      </c>
      <c r="U47" s="7">
        <v>60</v>
      </c>
      <c r="V47" s="7">
        <v>-31.17</v>
      </c>
      <c r="W47" s="7">
        <v>42</v>
      </c>
      <c r="X47" s="11">
        <v>100</v>
      </c>
    </row>
    <row r="48" spans="1:24" s="12" customFormat="1" ht="12.75" customHeight="1" x14ac:dyDescent="0.15">
      <c r="A48" s="1" t="s">
        <v>82</v>
      </c>
      <c r="B48" s="2"/>
      <c r="C48" s="3"/>
      <c r="D48" s="3"/>
      <c r="E48" s="4"/>
      <c r="F48" s="2"/>
      <c r="G48" s="3"/>
      <c r="H48" s="3"/>
      <c r="I48" s="4"/>
      <c r="J48" s="2"/>
      <c r="K48" s="3"/>
      <c r="L48" s="3"/>
      <c r="M48" s="4"/>
      <c r="N48" s="2"/>
      <c r="O48" s="3"/>
      <c r="P48" s="3"/>
      <c r="Q48" s="4"/>
      <c r="R48" s="7">
        <v>0</v>
      </c>
      <c r="S48" s="7">
        <v>0</v>
      </c>
      <c r="T48" s="7">
        <v>0</v>
      </c>
      <c r="U48" s="7"/>
      <c r="V48" s="7">
        <v>4548.68</v>
      </c>
      <c r="W48" s="7">
        <v>4337.46</v>
      </c>
      <c r="X48" s="11">
        <v>5000</v>
      </c>
    </row>
    <row r="49" spans="1:24" s="12" customFormat="1" ht="12.75" customHeight="1" x14ac:dyDescent="0.15">
      <c r="A49" s="1" t="s">
        <v>44</v>
      </c>
      <c r="B49" s="3">
        <f>563.64</f>
        <v>563.64</v>
      </c>
      <c r="C49" s="3">
        <f>208</f>
        <v>208</v>
      </c>
      <c r="D49" s="3">
        <f>(B49)-(C49)</f>
        <v>355.64</v>
      </c>
      <c r="E49" s="4">
        <f>IF(C49=0,"",(B49)/(C49))</f>
        <v>2.7098076923076921</v>
      </c>
      <c r="F49" s="3">
        <f>574.73</f>
        <v>574.73</v>
      </c>
      <c r="G49" s="3">
        <f>208</f>
        <v>208</v>
      </c>
      <c r="H49" s="3">
        <f>(F49)-(G49)</f>
        <v>366.73</v>
      </c>
      <c r="I49" s="4">
        <f>IF(G49=0,"",(F49)/(G49))</f>
        <v>2.7631250000000001</v>
      </c>
      <c r="J49" s="3">
        <f>222.74</f>
        <v>222.74</v>
      </c>
      <c r="K49" s="3">
        <f>208</f>
        <v>208</v>
      </c>
      <c r="L49" s="3">
        <f>(J49)-(K49)</f>
        <v>14.740000000000009</v>
      </c>
      <c r="M49" s="4">
        <f>IF(K49=0,"",(J49)/(K49))</f>
        <v>1.0708653846153846</v>
      </c>
      <c r="N49" s="3">
        <f>295.19</f>
        <v>295.19</v>
      </c>
      <c r="O49" s="3">
        <f>208</f>
        <v>208</v>
      </c>
      <c r="P49" s="3">
        <f>(N49)-(O49)</f>
        <v>87.19</v>
      </c>
      <c r="Q49" s="4">
        <f>IF(O49=0,"",(N49)/(O49))</f>
        <v>1.4191826923076922</v>
      </c>
      <c r="R49" s="7">
        <v>4006.21</v>
      </c>
      <c r="S49" s="7">
        <v>3585.22</v>
      </c>
      <c r="T49" s="7">
        <v>4228.6000000000004</v>
      </c>
      <c r="U49" s="7">
        <v>4228.6000000000004</v>
      </c>
      <c r="V49" s="7">
        <v>4159.5200000000004</v>
      </c>
      <c r="W49" s="7">
        <v>5481.25</v>
      </c>
      <c r="X49" s="11">
        <v>4500</v>
      </c>
    </row>
    <row r="50" spans="1:24" s="12" customFormat="1" ht="12.75" customHeight="1" x14ac:dyDescent="0.15">
      <c r="A50" s="1" t="s">
        <v>45</v>
      </c>
      <c r="B50" s="3">
        <f>1210</f>
        <v>1210</v>
      </c>
      <c r="C50" s="3">
        <f>62</f>
        <v>62</v>
      </c>
      <c r="D50" s="3">
        <f>(B50)-(C50)</f>
        <v>1148</v>
      </c>
      <c r="E50" s="4">
        <f>IF(C50=0,"",(B50)/(C50))</f>
        <v>19.516129032258064</v>
      </c>
      <c r="F50" s="3">
        <f>1210</f>
        <v>1210</v>
      </c>
      <c r="G50" s="3">
        <f>62</f>
        <v>62</v>
      </c>
      <c r="H50" s="3">
        <f>(F50)-(G50)</f>
        <v>1148</v>
      </c>
      <c r="I50" s="4">
        <f>IF(G50=0,"",(F50)/(G50))</f>
        <v>19.516129032258064</v>
      </c>
      <c r="J50" s="3">
        <f>1210</f>
        <v>1210</v>
      </c>
      <c r="K50" s="3">
        <f>62</f>
        <v>62</v>
      </c>
      <c r="L50" s="3">
        <f>(J50)-(K50)</f>
        <v>1148</v>
      </c>
      <c r="M50" s="4">
        <f>IF(K50=0,"",(J50)/(K50))</f>
        <v>19.516129032258064</v>
      </c>
      <c r="N50" s="3">
        <f>1210</f>
        <v>1210</v>
      </c>
      <c r="O50" s="3">
        <f>62</f>
        <v>62</v>
      </c>
      <c r="P50" s="3">
        <f>(N50)-(O50)</f>
        <v>1148</v>
      </c>
      <c r="Q50" s="4">
        <f>IF(O50=0,"",(N50)/(O50))</f>
        <v>19.516129032258064</v>
      </c>
      <c r="R50" s="7">
        <v>1029.23</v>
      </c>
      <c r="S50" s="7">
        <v>893.56</v>
      </c>
      <c r="T50" s="7">
        <v>1028.99</v>
      </c>
      <c r="U50" s="7">
        <v>1028.99</v>
      </c>
      <c r="V50" s="7">
        <v>510.23</v>
      </c>
      <c r="W50" s="7">
        <v>5935.91</v>
      </c>
      <c r="X50" s="11">
        <v>12500</v>
      </c>
    </row>
    <row r="51" spans="1:24" s="12" customFormat="1" ht="12.75" customHeight="1" x14ac:dyDescent="0.15">
      <c r="A51" s="1" t="s">
        <v>46</v>
      </c>
      <c r="B51" s="3">
        <f>69</f>
        <v>69</v>
      </c>
      <c r="C51" s="3">
        <f>20</f>
        <v>20</v>
      </c>
      <c r="D51" s="3">
        <f>(B51)-(C51)</f>
        <v>49</v>
      </c>
      <c r="E51" s="4">
        <f>IF(C51=0,"",(B51)/(C51))</f>
        <v>3.45</v>
      </c>
      <c r="F51" s="2"/>
      <c r="G51" s="3">
        <f>20</f>
        <v>20</v>
      </c>
      <c r="H51" s="3">
        <f>(F51)-(G51)</f>
        <v>-20</v>
      </c>
      <c r="I51" s="4">
        <f>IF(G51=0,"",(F51)/(G51))</f>
        <v>0</v>
      </c>
      <c r="J51" s="2"/>
      <c r="K51" s="3">
        <f>20</f>
        <v>20</v>
      </c>
      <c r="L51" s="3">
        <f>(J51)-(K51)</f>
        <v>-20</v>
      </c>
      <c r="M51" s="4">
        <f>IF(K51=0,"",(J51)/(K51))</f>
        <v>0</v>
      </c>
      <c r="N51" s="2"/>
      <c r="O51" s="3">
        <f>20</f>
        <v>20</v>
      </c>
      <c r="P51" s="3">
        <f>(N51)-(O51)</f>
        <v>-20</v>
      </c>
      <c r="Q51" s="4">
        <f>IF(O51=0,"",(N51)/(O51))</f>
        <v>0</v>
      </c>
      <c r="R51" s="7">
        <v>93.95</v>
      </c>
      <c r="S51" s="7">
        <v>133.25</v>
      </c>
      <c r="T51" s="7">
        <v>189.54</v>
      </c>
      <c r="U51" s="7">
        <v>189.54</v>
      </c>
      <c r="V51" s="7">
        <v>387.68</v>
      </c>
      <c r="W51" s="7">
        <v>1396.6</v>
      </c>
      <c r="X51" s="11">
        <v>1500</v>
      </c>
    </row>
    <row r="52" spans="1:24" s="12" customFormat="1" ht="12.75" customHeight="1" x14ac:dyDescent="0.15">
      <c r="A52" s="1" t="s">
        <v>47</v>
      </c>
      <c r="B52" s="3"/>
      <c r="C52" s="3"/>
      <c r="D52" s="3"/>
      <c r="E52" s="4"/>
      <c r="F52" s="2"/>
      <c r="G52" s="3"/>
      <c r="H52" s="3"/>
      <c r="I52" s="4"/>
      <c r="J52" s="2"/>
      <c r="K52" s="3"/>
      <c r="L52" s="3"/>
      <c r="M52" s="4"/>
      <c r="N52" s="2"/>
      <c r="O52" s="3"/>
      <c r="P52" s="3"/>
      <c r="Q52" s="4"/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11">
        <v>0</v>
      </c>
    </row>
    <row r="53" spans="1:24" s="12" customFormat="1" ht="12.75" customHeight="1" x14ac:dyDescent="0.15">
      <c r="A53" s="1" t="s">
        <v>48</v>
      </c>
      <c r="B53" s="3">
        <f>414.94</f>
        <v>414.94</v>
      </c>
      <c r="C53" s="3">
        <f>133</f>
        <v>133</v>
      </c>
      <c r="D53" s="3">
        <f>(B53)-(C53)</f>
        <v>281.94</v>
      </c>
      <c r="E53" s="4">
        <f>IF(C53=0,"",(B53)/(C53))</f>
        <v>3.1198496240601505</v>
      </c>
      <c r="F53" s="2"/>
      <c r="G53" s="3">
        <f>133</f>
        <v>133</v>
      </c>
      <c r="H53" s="3">
        <f>(F53)-(G53)</f>
        <v>-133</v>
      </c>
      <c r="I53" s="4">
        <f>IF(G53=0,"",(F53)/(G53))</f>
        <v>0</v>
      </c>
      <c r="J53" s="2"/>
      <c r="K53" s="3">
        <f>133</f>
        <v>133</v>
      </c>
      <c r="L53" s="3">
        <f>(J53)-(K53)</f>
        <v>-133</v>
      </c>
      <c r="M53" s="4">
        <f>IF(K53=0,"",(J53)/(K53))</f>
        <v>0</v>
      </c>
      <c r="N53" s="2"/>
      <c r="O53" s="3">
        <f>133</f>
        <v>133</v>
      </c>
      <c r="P53" s="3">
        <f>(N53)-(O53)</f>
        <v>-133</v>
      </c>
      <c r="Q53" s="4">
        <f>IF(O53=0,"",(N53)/(O53))</f>
        <v>0</v>
      </c>
      <c r="R53" s="7">
        <v>2671.61</v>
      </c>
      <c r="S53" s="7">
        <v>3233.23</v>
      </c>
      <c r="T53" s="7">
        <v>6972.87</v>
      </c>
      <c r="U53" s="7">
        <v>6972.87</v>
      </c>
      <c r="V53" s="7">
        <v>2876.04</v>
      </c>
      <c r="W53" s="7">
        <v>890.9</v>
      </c>
      <c r="X53" s="11">
        <v>1000</v>
      </c>
    </row>
    <row r="54" spans="1:24" s="12" customFormat="1" ht="12.75" customHeight="1" x14ac:dyDescent="0.15">
      <c r="A54" s="1" t="s">
        <v>49</v>
      </c>
      <c r="B54" s="3"/>
      <c r="C54" s="3"/>
      <c r="D54" s="3"/>
      <c r="E54" s="4"/>
      <c r="F54" s="2"/>
      <c r="G54" s="3"/>
      <c r="H54" s="3"/>
      <c r="I54" s="4"/>
      <c r="J54" s="2"/>
      <c r="K54" s="3"/>
      <c r="L54" s="3"/>
      <c r="M54" s="4"/>
      <c r="N54" s="2"/>
      <c r="O54" s="3"/>
      <c r="P54" s="3"/>
      <c r="Q54" s="4"/>
      <c r="R54" s="7">
        <v>0</v>
      </c>
      <c r="S54" s="7">
        <v>43.2</v>
      </c>
      <c r="T54" s="7">
        <v>0</v>
      </c>
      <c r="U54" s="7">
        <v>0</v>
      </c>
      <c r="V54" s="7">
        <v>5137.17</v>
      </c>
      <c r="W54" s="7">
        <v>89.94</v>
      </c>
      <c r="X54" s="11">
        <v>100</v>
      </c>
    </row>
    <row r="55" spans="1:24" s="12" customFormat="1" ht="12.75" customHeight="1" x14ac:dyDescent="0.15">
      <c r="A55" s="1" t="s">
        <v>50</v>
      </c>
      <c r="B55" s="3">
        <f>1692.87</f>
        <v>1692.87</v>
      </c>
      <c r="C55" s="3">
        <f>416</f>
        <v>416</v>
      </c>
      <c r="D55" s="3">
        <f t="shared" ref="D55:D69" si="19">(B55)-(C55)</f>
        <v>1276.8699999999999</v>
      </c>
      <c r="E55" s="4">
        <f t="shared" ref="E55:E69" si="20">IF(C55=0,"",(B55)/(C55))</f>
        <v>4.0693990384615386</v>
      </c>
      <c r="F55" s="3">
        <f>2035.18</f>
        <v>2035.18</v>
      </c>
      <c r="G55" s="3">
        <f>416</f>
        <v>416</v>
      </c>
      <c r="H55" s="3">
        <f t="shared" ref="H55:H69" si="21">(F55)-(G55)</f>
        <v>1619.18</v>
      </c>
      <c r="I55" s="4">
        <f t="shared" ref="I55:I69" si="22">IF(G55=0,"",(F55)/(G55))</f>
        <v>4.8922596153846154</v>
      </c>
      <c r="J55" s="3">
        <f>338.74</f>
        <v>338.74</v>
      </c>
      <c r="K55" s="3">
        <f>416</f>
        <v>416</v>
      </c>
      <c r="L55" s="3">
        <f t="shared" ref="L55:L69" si="23">(J55)-(K55)</f>
        <v>-77.259999999999991</v>
      </c>
      <c r="M55" s="4">
        <f t="shared" ref="M55:M69" si="24">IF(K55=0,"",(J55)/(K55))</f>
        <v>0.81427884615384616</v>
      </c>
      <c r="N55" s="3">
        <f>834.48</f>
        <v>834.48</v>
      </c>
      <c r="O55" s="3">
        <f>416</f>
        <v>416</v>
      </c>
      <c r="P55" s="3">
        <f t="shared" ref="P55:P69" si="25">(N55)-(O55)</f>
        <v>418.48</v>
      </c>
      <c r="Q55" s="4">
        <f t="shared" ref="Q55:Q69" si="26">IF(O55=0,"",(N55)/(O55))</f>
        <v>2.0059615384615386</v>
      </c>
      <c r="R55" s="7">
        <v>4323.1099999999997</v>
      </c>
      <c r="S55" s="7">
        <v>4873.53</v>
      </c>
      <c r="T55" s="7">
        <v>3358.95</v>
      </c>
      <c r="U55" s="7">
        <v>3358.95</v>
      </c>
      <c r="V55" s="7">
        <v>6144.76</v>
      </c>
      <c r="W55" s="7">
        <v>6528.78</v>
      </c>
      <c r="X55" s="11">
        <v>6500</v>
      </c>
    </row>
    <row r="56" spans="1:24" s="12" customFormat="1" ht="12.75" customHeight="1" x14ac:dyDescent="0.15">
      <c r="A56" s="1" t="s">
        <v>51</v>
      </c>
      <c r="B56" s="3">
        <f>13</f>
        <v>13</v>
      </c>
      <c r="C56" s="3">
        <f>104</f>
        <v>104</v>
      </c>
      <c r="D56" s="3">
        <f t="shared" si="19"/>
        <v>-91</v>
      </c>
      <c r="E56" s="4">
        <f t="shared" si="20"/>
        <v>0.125</v>
      </c>
      <c r="F56" s="3">
        <f>54.95</f>
        <v>54.95</v>
      </c>
      <c r="G56" s="3">
        <f>104</f>
        <v>104</v>
      </c>
      <c r="H56" s="3">
        <f t="shared" si="21"/>
        <v>-49.05</v>
      </c>
      <c r="I56" s="4">
        <f t="shared" si="22"/>
        <v>0.52836538461538463</v>
      </c>
      <c r="J56" s="3">
        <f>341.13</f>
        <v>341.13</v>
      </c>
      <c r="K56" s="3">
        <f>104</f>
        <v>104</v>
      </c>
      <c r="L56" s="3">
        <f t="shared" si="23"/>
        <v>237.13</v>
      </c>
      <c r="M56" s="4">
        <f t="shared" si="24"/>
        <v>3.2800961538461539</v>
      </c>
      <c r="N56" s="2"/>
      <c r="O56" s="3">
        <f>104</f>
        <v>104</v>
      </c>
      <c r="P56" s="3">
        <f t="shared" si="25"/>
        <v>-104</v>
      </c>
      <c r="Q56" s="4">
        <f t="shared" si="26"/>
        <v>0</v>
      </c>
      <c r="R56" s="7">
        <v>1604.95</v>
      </c>
      <c r="S56" s="7">
        <v>2605.2800000000002</v>
      </c>
      <c r="T56" s="7">
        <v>3011.77</v>
      </c>
      <c r="U56" s="7">
        <v>3011.77</v>
      </c>
      <c r="V56" s="7">
        <v>4112.01</v>
      </c>
      <c r="W56" s="7">
        <v>2626.08</v>
      </c>
      <c r="X56" s="11">
        <v>3000</v>
      </c>
    </row>
    <row r="57" spans="1:24" s="12" customFormat="1" ht="12.75" customHeight="1" x14ac:dyDescent="0.15">
      <c r="A57" s="1" t="s">
        <v>52</v>
      </c>
      <c r="B57" s="2"/>
      <c r="C57" s="3">
        <f>233</f>
        <v>233</v>
      </c>
      <c r="D57" s="3">
        <f t="shared" si="19"/>
        <v>-233</v>
      </c>
      <c r="E57" s="4">
        <f t="shared" si="20"/>
        <v>0</v>
      </c>
      <c r="F57" s="2"/>
      <c r="G57" s="3">
        <f>233</f>
        <v>233</v>
      </c>
      <c r="H57" s="3">
        <f t="shared" si="21"/>
        <v>-233</v>
      </c>
      <c r="I57" s="4">
        <f t="shared" si="22"/>
        <v>0</v>
      </c>
      <c r="J57" s="3">
        <f>1568</f>
        <v>1568</v>
      </c>
      <c r="K57" s="3">
        <f>233</f>
        <v>233</v>
      </c>
      <c r="L57" s="3">
        <f t="shared" si="23"/>
        <v>1335</v>
      </c>
      <c r="M57" s="4">
        <f t="shared" si="24"/>
        <v>6.7296137339055795</v>
      </c>
      <c r="N57" s="3">
        <f>951.37</f>
        <v>951.37</v>
      </c>
      <c r="O57" s="3">
        <f>233</f>
        <v>233</v>
      </c>
      <c r="P57" s="3">
        <f t="shared" si="25"/>
        <v>718.37</v>
      </c>
      <c r="Q57" s="4">
        <f t="shared" si="26"/>
        <v>4.0831330472103007</v>
      </c>
      <c r="R57" s="7">
        <v>6742.58</v>
      </c>
      <c r="S57" s="7">
        <v>4113.2700000000004</v>
      </c>
      <c r="T57" s="7">
        <v>12098.48</v>
      </c>
      <c r="U57" s="7">
        <v>12098.48</v>
      </c>
      <c r="V57" s="7">
        <v>9917.77</v>
      </c>
      <c r="W57" s="7">
        <v>5200.3</v>
      </c>
      <c r="X57" s="11">
        <v>5500</v>
      </c>
    </row>
    <row r="58" spans="1:24" s="12" customFormat="1" ht="12.75" customHeight="1" x14ac:dyDescent="0.15">
      <c r="A58" s="1" t="s">
        <v>53</v>
      </c>
      <c r="B58" s="2"/>
      <c r="C58" s="2"/>
      <c r="D58" s="3">
        <f t="shared" si="19"/>
        <v>0</v>
      </c>
      <c r="E58" s="4" t="str">
        <f t="shared" si="20"/>
        <v/>
      </c>
      <c r="F58" s="2"/>
      <c r="G58" s="2"/>
      <c r="H58" s="3">
        <f t="shared" si="21"/>
        <v>0</v>
      </c>
      <c r="I58" s="4" t="str">
        <f t="shared" si="22"/>
        <v/>
      </c>
      <c r="J58" s="2"/>
      <c r="K58" s="2"/>
      <c r="L58" s="3">
        <f t="shared" si="23"/>
        <v>0</v>
      </c>
      <c r="M58" s="4" t="str">
        <f t="shared" si="24"/>
        <v/>
      </c>
      <c r="N58" s="2"/>
      <c r="O58" s="2"/>
      <c r="P58" s="3">
        <f t="shared" si="25"/>
        <v>0</v>
      </c>
      <c r="Q58" s="4" t="str">
        <f t="shared" si="26"/>
        <v/>
      </c>
      <c r="R58" s="7">
        <v>1031.1600000000001</v>
      </c>
      <c r="S58" s="7">
        <v>1530.53</v>
      </c>
      <c r="T58" s="7">
        <v>259.02</v>
      </c>
      <c r="U58" s="7">
        <v>259.02</v>
      </c>
      <c r="V58" s="7">
        <v>226.03</v>
      </c>
      <c r="W58" s="7">
        <v>1120.17</v>
      </c>
      <c r="X58" s="11">
        <v>1000</v>
      </c>
    </row>
    <row r="59" spans="1:24" s="12" customFormat="1" ht="12.75" customHeight="1" x14ac:dyDescent="0.15">
      <c r="A59" s="1" t="s">
        <v>54</v>
      </c>
      <c r="B59" s="3">
        <f>70.41</f>
        <v>70.41</v>
      </c>
      <c r="C59" s="3">
        <f>145</f>
        <v>145</v>
      </c>
      <c r="D59" s="3">
        <f t="shared" si="19"/>
        <v>-74.59</v>
      </c>
      <c r="E59" s="4">
        <f t="shared" si="20"/>
        <v>0.48558620689655169</v>
      </c>
      <c r="F59" s="3">
        <f>1421.57</f>
        <v>1421.57</v>
      </c>
      <c r="G59" s="3">
        <f>145</f>
        <v>145</v>
      </c>
      <c r="H59" s="3">
        <f t="shared" si="21"/>
        <v>1276.57</v>
      </c>
      <c r="I59" s="4">
        <f t="shared" si="22"/>
        <v>9.8039310344827584</v>
      </c>
      <c r="J59" s="3">
        <f>295.83</f>
        <v>295.83</v>
      </c>
      <c r="K59" s="3">
        <f>145</f>
        <v>145</v>
      </c>
      <c r="L59" s="3">
        <f t="shared" si="23"/>
        <v>150.82999999999998</v>
      </c>
      <c r="M59" s="4">
        <f t="shared" si="24"/>
        <v>2.0402068965517239</v>
      </c>
      <c r="N59" s="2"/>
      <c r="O59" s="3">
        <f>145</f>
        <v>145</v>
      </c>
      <c r="P59" s="3">
        <f t="shared" si="25"/>
        <v>-145</v>
      </c>
      <c r="Q59" s="4">
        <f t="shared" si="26"/>
        <v>0</v>
      </c>
      <c r="R59" s="7">
        <v>4890.99</v>
      </c>
      <c r="S59" s="7">
        <v>5559.39</v>
      </c>
      <c r="T59" s="7">
        <v>11889.05</v>
      </c>
      <c r="U59" s="7">
        <v>11889.05</v>
      </c>
      <c r="V59" s="7">
        <v>14578.82</v>
      </c>
      <c r="W59" s="7">
        <v>14947.51</v>
      </c>
      <c r="X59" s="11">
        <v>15000</v>
      </c>
    </row>
    <row r="60" spans="1:24" s="12" customFormat="1" ht="12.75" customHeight="1" x14ac:dyDescent="0.15">
      <c r="A60" s="1" t="s">
        <v>55</v>
      </c>
      <c r="B60" s="2"/>
      <c r="C60" s="3">
        <f>208</f>
        <v>208</v>
      </c>
      <c r="D60" s="3">
        <f t="shared" si="19"/>
        <v>-208</v>
      </c>
      <c r="E60" s="4">
        <f t="shared" si="20"/>
        <v>0</v>
      </c>
      <c r="F60" s="2"/>
      <c r="G60" s="3">
        <f>208</f>
        <v>208</v>
      </c>
      <c r="H60" s="3">
        <f t="shared" si="21"/>
        <v>-208</v>
      </c>
      <c r="I60" s="4">
        <f t="shared" si="22"/>
        <v>0</v>
      </c>
      <c r="J60" s="2"/>
      <c r="K60" s="3">
        <f>208</f>
        <v>208</v>
      </c>
      <c r="L60" s="3">
        <f t="shared" si="23"/>
        <v>-208</v>
      </c>
      <c r="M60" s="4">
        <f t="shared" si="24"/>
        <v>0</v>
      </c>
      <c r="N60" s="2"/>
      <c r="O60" s="3">
        <f>208</f>
        <v>208</v>
      </c>
      <c r="P60" s="3">
        <f t="shared" si="25"/>
        <v>-208</v>
      </c>
      <c r="Q60" s="4">
        <f t="shared" si="26"/>
        <v>0</v>
      </c>
      <c r="R60" s="7">
        <v>5250</v>
      </c>
      <c r="S60" s="7">
        <v>3076.5</v>
      </c>
      <c r="T60" s="7">
        <v>9000</v>
      </c>
      <c r="U60" s="7">
        <v>9000</v>
      </c>
      <c r="V60" s="7">
        <v>7211.89</v>
      </c>
      <c r="W60" s="7">
        <v>23915.67</v>
      </c>
      <c r="X60" s="11">
        <v>15000</v>
      </c>
    </row>
    <row r="61" spans="1:24" s="12" customFormat="1" ht="12.75" customHeight="1" x14ac:dyDescent="0.15">
      <c r="A61" s="1" t="s">
        <v>56</v>
      </c>
      <c r="B61" s="3">
        <f>5.05</f>
        <v>5.05</v>
      </c>
      <c r="C61" s="3">
        <f>1166</f>
        <v>1166</v>
      </c>
      <c r="D61" s="3">
        <f t="shared" si="19"/>
        <v>-1160.95</v>
      </c>
      <c r="E61" s="4">
        <f t="shared" si="20"/>
        <v>4.3310463121783872E-3</v>
      </c>
      <c r="F61" s="2"/>
      <c r="G61" s="3">
        <f>1166</f>
        <v>1166</v>
      </c>
      <c r="H61" s="3">
        <f t="shared" si="21"/>
        <v>-1166</v>
      </c>
      <c r="I61" s="4">
        <f t="shared" si="22"/>
        <v>0</v>
      </c>
      <c r="J61" s="3">
        <f>15.9</f>
        <v>15.9</v>
      </c>
      <c r="K61" s="3">
        <f>1166</f>
        <v>1166</v>
      </c>
      <c r="L61" s="3">
        <f t="shared" si="23"/>
        <v>-1150.0999999999999</v>
      </c>
      <c r="M61" s="4">
        <f t="shared" si="24"/>
        <v>1.3636363636363637E-2</v>
      </c>
      <c r="N61" s="2"/>
      <c r="O61" s="3">
        <f>1166</f>
        <v>1166</v>
      </c>
      <c r="P61" s="3">
        <f t="shared" si="25"/>
        <v>-1166</v>
      </c>
      <c r="Q61" s="4">
        <f t="shared" si="26"/>
        <v>0</v>
      </c>
      <c r="R61" s="7">
        <v>13937.73</v>
      </c>
      <c r="S61" s="7">
        <v>11455.62</v>
      </c>
      <c r="T61" s="7">
        <v>23850.92</v>
      </c>
      <c r="U61" s="7">
        <v>23850.92</v>
      </c>
      <c r="V61" s="7">
        <v>28966.77</v>
      </c>
      <c r="W61" s="7">
        <v>24361.439999999999</v>
      </c>
      <c r="X61" s="11">
        <v>24000</v>
      </c>
    </row>
    <row r="62" spans="1:24" s="12" customFormat="1" ht="12.75" customHeight="1" x14ac:dyDescent="0.15">
      <c r="A62" s="1" t="s">
        <v>57</v>
      </c>
      <c r="B62" s="2"/>
      <c r="C62" s="3">
        <f>41</f>
        <v>41</v>
      </c>
      <c r="D62" s="3">
        <f t="shared" si="19"/>
        <v>-41</v>
      </c>
      <c r="E62" s="4">
        <f t="shared" si="20"/>
        <v>0</v>
      </c>
      <c r="F62" s="2"/>
      <c r="G62" s="3">
        <f>41</f>
        <v>41</v>
      </c>
      <c r="H62" s="3">
        <f t="shared" si="21"/>
        <v>-41</v>
      </c>
      <c r="I62" s="4">
        <f t="shared" si="22"/>
        <v>0</v>
      </c>
      <c r="J62" s="2"/>
      <c r="K62" s="3">
        <f>41</f>
        <v>41</v>
      </c>
      <c r="L62" s="3">
        <f t="shared" si="23"/>
        <v>-41</v>
      </c>
      <c r="M62" s="4">
        <f t="shared" si="24"/>
        <v>0</v>
      </c>
      <c r="N62" s="2"/>
      <c r="O62" s="3">
        <f>41</f>
        <v>41</v>
      </c>
      <c r="P62" s="3">
        <f t="shared" si="25"/>
        <v>-41</v>
      </c>
      <c r="Q62" s="4">
        <f t="shared" si="26"/>
        <v>0</v>
      </c>
      <c r="R62" s="7">
        <v>450</v>
      </c>
      <c r="S62" s="7">
        <v>555</v>
      </c>
      <c r="T62" s="7">
        <v>4491.3100000000004</v>
      </c>
      <c r="U62" s="7">
        <v>4491.3100000000004</v>
      </c>
      <c r="V62" s="7">
        <v>1750</v>
      </c>
      <c r="W62" s="7">
        <v>1300</v>
      </c>
      <c r="X62" s="11">
        <v>2000</v>
      </c>
    </row>
    <row r="63" spans="1:24" s="12" customFormat="1" ht="12.75" customHeight="1" x14ac:dyDescent="0.15">
      <c r="A63" s="1" t="s">
        <v>58</v>
      </c>
      <c r="B63" s="2"/>
      <c r="C63" s="3">
        <f>58</f>
        <v>58</v>
      </c>
      <c r="D63" s="3">
        <f t="shared" si="19"/>
        <v>-58</v>
      </c>
      <c r="E63" s="4">
        <f t="shared" si="20"/>
        <v>0</v>
      </c>
      <c r="F63" s="3">
        <f>800</f>
        <v>800</v>
      </c>
      <c r="G63" s="3">
        <f>58</f>
        <v>58</v>
      </c>
      <c r="H63" s="3">
        <f t="shared" si="21"/>
        <v>742</v>
      </c>
      <c r="I63" s="4">
        <f t="shared" si="22"/>
        <v>13.793103448275861</v>
      </c>
      <c r="J63" s="2"/>
      <c r="K63" s="3">
        <f>58</f>
        <v>58</v>
      </c>
      <c r="L63" s="3">
        <f t="shared" si="23"/>
        <v>-58</v>
      </c>
      <c r="M63" s="4">
        <f t="shared" si="24"/>
        <v>0</v>
      </c>
      <c r="N63" s="2"/>
      <c r="O63" s="3">
        <f>58</f>
        <v>58</v>
      </c>
      <c r="P63" s="3">
        <f t="shared" si="25"/>
        <v>-58</v>
      </c>
      <c r="Q63" s="4">
        <f t="shared" si="26"/>
        <v>0</v>
      </c>
      <c r="R63" s="7">
        <v>2439.25</v>
      </c>
      <c r="S63" s="7">
        <v>1701.83</v>
      </c>
      <c r="T63" s="7">
        <v>3083.25</v>
      </c>
      <c r="U63" s="7">
        <v>3083.25</v>
      </c>
      <c r="V63" s="7">
        <v>3788.08</v>
      </c>
      <c r="W63" s="7">
        <v>4498.8</v>
      </c>
      <c r="X63" s="11">
        <v>3500</v>
      </c>
    </row>
    <row r="64" spans="1:24" s="12" customFormat="1" ht="12.75" customHeight="1" x14ac:dyDescent="0.15">
      <c r="A64" s="1" t="s">
        <v>59</v>
      </c>
      <c r="B64" s="2"/>
      <c r="C64" s="3">
        <f>83</f>
        <v>83</v>
      </c>
      <c r="D64" s="3">
        <f t="shared" si="19"/>
        <v>-83</v>
      </c>
      <c r="E64" s="4">
        <f t="shared" si="20"/>
        <v>0</v>
      </c>
      <c r="F64" s="2"/>
      <c r="G64" s="3">
        <f>83</f>
        <v>83</v>
      </c>
      <c r="H64" s="3">
        <f t="shared" si="21"/>
        <v>-83</v>
      </c>
      <c r="I64" s="4">
        <f t="shared" si="22"/>
        <v>0</v>
      </c>
      <c r="J64" s="2"/>
      <c r="K64" s="3">
        <f>83</f>
        <v>83</v>
      </c>
      <c r="L64" s="3">
        <f t="shared" si="23"/>
        <v>-83</v>
      </c>
      <c r="M64" s="4">
        <f t="shared" si="24"/>
        <v>0</v>
      </c>
      <c r="N64" s="2"/>
      <c r="O64" s="3">
        <f>83</f>
        <v>83</v>
      </c>
      <c r="P64" s="3">
        <f t="shared" si="25"/>
        <v>-83</v>
      </c>
      <c r="Q64" s="4">
        <f t="shared" si="26"/>
        <v>0</v>
      </c>
      <c r="R64" s="7">
        <v>2810.95</v>
      </c>
      <c r="S64" s="7">
        <v>5086.54</v>
      </c>
      <c r="T64" s="7">
        <v>10757.68</v>
      </c>
      <c r="U64" s="7">
        <v>10757.68</v>
      </c>
      <c r="V64" s="7">
        <v>9971.99</v>
      </c>
      <c r="W64" s="7">
        <v>8521.06</v>
      </c>
      <c r="X64" s="11">
        <v>7000</v>
      </c>
    </row>
    <row r="65" spans="1:24" s="12" customFormat="1" ht="12.75" customHeight="1" x14ac:dyDescent="0.15">
      <c r="A65" s="1" t="s">
        <v>60</v>
      </c>
      <c r="B65" s="5">
        <f>((((((B58)+(B59))+(B60))+(B61))+(B62))+(B63))+(B64)</f>
        <v>75.459999999999994</v>
      </c>
      <c r="C65" s="5">
        <f>((((((C58)+(C59))+(C60))+(C61))+(C62))+(C63))+(C64)</f>
        <v>1701</v>
      </c>
      <c r="D65" s="5">
        <f t="shared" si="19"/>
        <v>-1625.54</v>
      </c>
      <c r="E65" s="6">
        <f t="shared" si="20"/>
        <v>4.436213991769547E-2</v>
      </c>
      <c r="F65" s="5">
        <f>((((((F58)+(F59))+(F60))+(F61))+(F62))+(F63))+(F64)</f>
        <v>2221.5699999999997</v>
      </c>
      <c r="G65" s="5">
        <f>((((((G58)+(G59))+(G60))+(G61))+(G62))+(G63))+(G64)</f>
        <v>1701</v>
      </c>
      <c r="H65" s="5">
        <f t="shared" si="21"/>
        <v>520.56999999999971</v>
      </c>
      <c r="I65" s="6">
        <f t="shared" si="22"/>
        <v>1.3060376249265135</v>
      </c>
      <c r="J65" s="5">
        <f>((((((J58)+(J59))+(J60))+(J61))+(J62))+(J63))+(J64)</f>
        <v>311.72999999999996</v>
      </c>
      <c r="K65" s="5">
        <f>((((((K58)+(K59))+(K60))+(K61))+(K62))+(K63))+(K64)</f>
        <v>1701</v>
      </c>
      <c r="L65" s="5">
        <f t="shared" si="23"/>
        <v>-1389.27</v>
      </c>
      <c r="M65" s="6">
        <f t="shared" si="24"/>
        <v>0.18326278659611991</v>
      </c>
      <c r="N65" s="5">
        <f>((((((N58)+(N59))+(N60))+(N61))+(N62))+(N63))+(N64)</f>
        <v>0</v>
      </c>
      <c r="O65" s="5">
        <f>((((((O58)+(O59))+(O60))+(O61))+(O62))+(O63))+(O64)</f>
        <v>1701</v>
      </c>
      <c r="P65" s="5">
        <f t="shared" si="25"/>
        <v>-1701</v>
      </c>
      <c r="Q65" s="6">
        <f t="shared" si="26"/>
        <v>0</v>
      </c>
      <c r="R65" s="13">
        <f t="shared" ref="R65:W65" si="27">SUM(R58:R64)</f>
        <v>30810.079999999998</v>
      </c>
      <c r="S65" s="13">
        <f t="shared" si="27"/>
        <v>28965.410000000003</v>
      </c>
      <c r="T65" s="13">
        <f t="shared" si="27"/>
        <v>63331.229999999996</v>
      </c>
      <c r="U65" s="13">
        <f t="shared" si="27"/>
        <v>63331.229999999996</v>
      </c>
      <c r="V65" s="13">
        <f t="shared" si="27"/>
        <v>66493.58</v>
      </c>
      <c r="W65" s="13">
        <f t="shared" si="27"/>
        <v>78664.649999999994</v>
      </c>
      <c r="X65" s="19">
        <f>SUM(X58:X64)</f>
        <v>67500</v>
      </c>
    </row>
    <row r="66" spans="1:24" s="12" customFormat="1" ht="12.75" customHeight="1" x14ac:dyDescent="0.15">
      <c r="A66" s="1" t="s">
        <v>61</v>
      </c>
      <c r="B66" s="2"/>
      <c r="C66" s="2"/>
      <c r="D66" s="3">
        <f t="shared" si="19"/>
        <v>0</v>
      </c>
      <c r="E66" s="4" t="str">
        <f t="shared" si="20"/>
        <v/>
      </c>
      <c r="F66" s="2"/>
      <c r="G66" s="2"/>
      <c r="H66" s="3">
        <f t="shared" si="21"/>
        <v>0</v>
      </c>
      <c r="I66" s="4" t="str">
        <f t="shared" si="22"/>
        <v/>
      </c>
      <c r="J66" s="3">
        <f>162.42</f>
        <v>162.41999999999999</v>
      </c>
      <c r="K66" s="2"/>
      <c r="L66" s="3">
        <f t="shared" si="23"/>
        <v>162.41999999999999</v>
      </c>
      <c r="M66" s="4" t="str">
        <f t="shared" si="24"/>
        <v/>
      </c>
      <c r="N66" s="2"/>
      <c r="O66" s="2"/>
      <c r="P66" s="3">
        <f t="shared" si="25"/>
        <v>0</v>
      </c>
      <c r="Q66" s="4" t="str">
        <f t="shared" si="26"/>
        <v/>
      </c>
      <c r="R66" s="7">
        <v>277.79000000000002</v>
      </c>
      <c r="S66" s="7">
        <v>0</v>
      </c>
      <c r="T66" s="7">
        <v>0</v>
      </c>
      <c r="U66" s="7">
        <v>0</v>
      </c>
      <c r="V66" s="7">
        <v>646.75</v>
      </c>
      <c r="W66" s="7">
        <f>(((F71)+(J71))+(N71))+(R71)</f>
        <v>0</v>
      </c>
      <c r="X66" s="11">
        <v>0</v>
      </c>
    </row>
    <row r="67" spans="1:24" s="12" customFormat="1" ht="12.75" customHeight="1" x14ac:dyDescent="0.15">
      <c r="A67" s="1" t="s">
        <v>62</v>
      </c>
      <c r="B67" s="2"/>
      <c r="C67" s="3">
        <f>208</f>
        <v>208</v>
      </c>
      <c r="D67" s="3">
        <f t="shared" si="19"/>
        <v>-208</v>
      </c>
      <c r="E67" s="4">
        <f t="shared" si="20"/>
        <v>0</v>
      </c>
      <c r="F67" s="2"/>
      <c r="G67" s="3">
        <f>208</f>
        <v>208</v>
      </c>
      <c r="H67" s="3">
        <f t="shared" si="21"/>
        <v>-208</v>
      </c>
      <c r="I67" s="4">
        <f t="shared" si="22"/>
        <v>0</v>
      </c>
      <c r="J67" s="2"/>
      <c r="K67" s="3">
        <f>208</f>
        <v>208</v>
      </c>
      <c r="L67" s="3">
        <f t="shared" si="23"/>
        <v>-208</v>
      </c>
      <c r="M67" s="4">
        <f t="shared" si="24"/>
        <v>0</v>
      </c>
      <c r="N67" s="2"/>
      <c r="O67" s="3">
        <f>208</f>
        <v>208</v>
      </c>
      <c r="P67" s="3">
        <f t="shared" si="25"/>
        <v>-208</v>
      </c>
      <c r="Q67" s="4">
        <f t="shared" si="26"/>
        <v>0</v>
      </c>
      <c r="R67" s="7">
        <v>0</v>
      </c>
      <c r="S67" s="7">
        <f>(((B67)+(F67))+(J67))+(N67)</f>
        <v>0</v>
      </c>
      <c r="T67" s="7">
        <f>(((C67)+(G67))+(K67))+(O67)</f>
        <v>832</v>
      </c>
      <c r="U67" s="7">
        <f>(((D67)+(H67))+(L67))+(P67)</f>
        <v>-832</v>
      </c>
      <c r="V67" s="7">
        <v>0</v>
      </c>
      <c r="W67" s="7">
        <v>0</v>
      </c>
      <c r="X67" s="11">
        <v>0</v>
      </c>
    </row>
    <row r="68" spans="1:24" s="12" customFormat="1" ht="12.75" customHeight="1" x14ac:dyDescent="0.15">
      <c r="A68" s="1" t="s">
        <v>63</v>
      </c>
      <c r="B68" s="3">
        <f>225.54</f>
        <v>225.54</v>
      </c>
      <c r="C68" s="3">
        <f>5666</f>
        <v>5666</v>
      </c>
      <c r="D68" s="3">
        <f t="shared" si="19"/>
        <v>-5440.46</v>
      </c>
      <c r="E68" s="4">
        <f t="shared" si="20"/>
        <v>3.9805859512883866E-2</v>
      </c>
      <c r="F68" s="3">
        <f>231.35</f>
        <v>231.35</v>
      </c>
      <c r="G68" s="3">
        <f>5666</f>
        <v>5666</v>
      </c>
      <c r="H68" s="3">
        <f t="shared" si="21"/>
        <v>-5434.65</v>
      </c>
      <c r="I68" s="4">
        <f t="shared" si="22"/>
        <v>4.0831274267560891E-2</v>
      </c>
      <c r="J68" s="3">
        <f>3241.05</f>
        <v>3241.05</v>
      </c>
      <c r="K68" s="3">
        <f>5666</f>
        <v>5666</v>
      </c>
      <c r="L68" s="3">
        <f t="shared" si="23"/>
        <v>-2424.9499999999998</v>
      </c>
      <c r="M68" s="4">
        <f t="shared" si="24"/>
        <v>0.57201729615248853</v>
      </c>
      <c r="N68" s="3">
        <f>9479.22</f>
        <v>9479.2199999999993</v>
      </c>
      <c r="O68" s="3">
        <f>5666</f>
        <v>5666</v>
      </c>
      <c r="P68" s="3">
        <f t="shared" si="25"/>
        <v>3813.2199999999993</v>
      </c>
      <c r="Q68" s="4">
        <f t="shared" si="26"/>
        <v>1.6730003529827038</v>
      </c>
      <c r="R68" s="7">
        <v>52288.74</v>
      </c>
      <c r="S68" s="7">
        <v>65417.27</v>
      </c>
      <c r="T68" s="7">
        <v>111527.07</v>
      </c>
      <c r="U68" s="7">
        <v>111527.07</v>
      </c>
      <c r="V68" s="7">
        <v>81374.350000000006</v>
      </c>
      <c r="W68" s="7">
        <v>35567.75</v>
      </c>
      <c r="X68" s="11">
        <v>45000</v>
      </c>
    </row>
    <row r="69" spans="1:24" s="12" customFormat="1" ht="12.75" customHeight="1" x14ac:dyDescent="0.15">
      <c r="A69" s="1" t="s">
        <v>64</v>
      </c>
      <c r="B69" s="2"/>
      <c r="C69" s="3">
        <f>166</f>
        <v>166</v>
      </c>
      <c r="D69" s="3">
        <f t="shared" si="19"/>
        <v>-166</v>
      </c>
      <c r="E69" s="4">
        <f t="shared" si="20"/>
        <v>0</v>
      </c>
      <c r="F69" s="2"/>
      <c r="G69" s="3">
        <f>166</f>
        <v>166</v>
      </c>
      <c r="H69" s="3">
        <f t="shared" si="21"/>
        <v>-166</v>
      </c>
      <c r="I69" s="4">
        <f t="shared" si="22"/>
        <v>0</v>
      </c>
      <c r="J69" s="3">
        <f>352.33</f>
        <v>352.33</v>
      </c>
      <c r="K69" s="3">
        <f>166</f>
        <v>166</v>
      </c>
      <c r="L69" s="3">
        <f t="shared" si="23"/>
        <v>186.32999999999998</v>
      </c>
      <c r="M69" s="4">
        <f t="shared" si="24"/>
        <v>2.1224698795180723</v>
      </c>
      <c r="N69" s="3">
        <f>94.54</f>
        <v>94.54</v>
      </c>
      <c r="O69" s="3">
        <f>166</f>
        <v>166</v>
      </c>
      <c r="P69" s="3">
        <f t="shared" si="25"/>
        <v>-71.459999999999994</v>
      </c>
      <c r="Q69" s="4">
        <f t="shared" si="26"/>
        <v>0.56951807228915663</v>
      </c>
      <c r="R69" s="7">
        <v>2924.8</v>
      </c>
      <c r="S69" s="7">
        <v>3867.42</v>
      </c>
      <c r="T69" s="7">
        <v>4011.78</v>
      </c>
      <c r="U69" s="7">
        <v>4011.78</v>
      </c>
      <c r="V69" s="7">
        <v>4870.68</v>
      </c>
      <c r="W69" s="7">
        <v>4220.99</v>
      </c>
      <c r="X69" s="11">
        <v>2500</v>
      </c>
    </row>
    <row r="70" spans="1:24" s="12" customFormat="1" ht="12.75" customHeight="1" x14ac:dyDescent="0.15">
      <c r="A70" s="1" t="s">
        <v>65</v>
      </c>
      <c r="B70" s="2"/>
      <c r="C70" s="3"/>
      <c r="D70" s="3"/>
      <c r="E70" s="4"/>
      <c r="F70" s="2"/>
      <c r="G70" s="3"/>
      <c r="H70" s="3"/>
      <c r="I70" s="4"/>
      <c r="J70" s="3"/>
      <c r="K70" s="3"/>
      <c r="L70" s="3"/>
      <c r="M70" s="4"/>
      <c r="N70" s="3"/>
      <c r="O70" s="3"/>
      <c r="P70" s="3"/>
      <c r="Q70" s="4"/>
      <c r="R70" s="7">
        <v>0</v>
      </c>
      <c r="S70" s="7">
        <v>0</v>
      </c>
      <c r="T70" s="7">
        <v>0</v>
      </c>
      <c r="U70" s="7">
        <v>0</v>
      </c>
      <c r="V70" s="7">
        <v>106965.74</v>
      </c>
      <c r="W70" s="7">
        <v>52348</v>
      </c>
      <c r="X70" s="11">
        <v>340000</v>
      </c>
    </row>
    <row r="71" spans="1:24" s="12" customFormat="1" ht="12.75" customHeight="1" x14ac:dyDescent="0.15">
      <c r="A71" s="1" t="s">
        <v>66</v>
      </c>
      <c r="B71" s="2"/>
      <c r="C71" s="3"/>
      <c r="D71" s="3"/>
      <c r="E71" s="4"/>
      <c r="F71" s="2"/>
      <c r="G71" s="3"/>
      <c r="H71" s="3"/>
      <c r="I71" s="4"/>
      <c r="J71" s="3"/>
      <c r="K71" s="3"/>
      <c r="L71" s="3"/>
      <c r="M71" s="4"/>
      <c r="N71" s="3"/>
      <c r="O71" s="3"/>
      <c r="P71" s="3"/>
      <c r="Q71" s="4"/>
      <c r="R71" s="7">
        <v>0</v>
      </c>
      <c r="S71" s="7">
        <v>0</v>
      </c>
      <c r="T71" s="7">
        <v>0</v>
      </c>
      <c r="U71" s="7">
        <v>0</v>
      </c>
      <c r="V71" s="7">
        <v>49682.85</v>
      </c>
      <c r="W71" s="7">
        <v>20714.3</v>
      </c>
      <c r="X71" s="11">
        <v>135000</v>
      </c>
    </row>
    <row r="72" spans="1:24" s="12" customFormat="1" ht="12.75" customHeight="1" x14ac:dyDescent="0.15">
      <c r="A72" s="1" t="s">
        <v>67</v>
      </c>
      <c r="B72" s="5">
        <f>(((B66)+(B67))+(B68))+(B69)</f>
        <v>225.54</v>
      </c>
      <c r="C72" s="5">
        <f>(((C66)+(C67))+(C68))+(C69)</f>
        <v>6040</v>
      </c>
      <c r="D72" s="5">
        <f t="shared" ref="D72:D84" si="28">(B72)-(C72)</f>
        <v>-5814.46</v>
      </c>
      <c r="E72" s="6">
        <f t="shared" ref="E72:E84" si="29">IF(C72=0,"",(B72)/(C72))</f>
        <v>3.7341059602649003E-2</v>
      </c>
      <c r="F72" s="5">
        <f>(((F66)+(F67))+(F68))+(F69)</f>
        <v>231.35</v>
      </c>
      <c r="G72" s="5">
        <f>(((G66)+(G67))+(G68))+(G69)</f>
        <v>6040</v>
      </c>
      <c r="H72" s="5">
        <f t="shared" ref="H72:H84" si="30">(F72)-(G72)</f>
        <v>-5808.65</v>
      </c>
      <c r="I72" s="6">
        <f t="shared" ref="I72:I84" si="31">IF(G72=0,"",(F72)/(G72))</f>
        <v>3.8302980132450329E-2</v>
      </c>
      <c r="J72" s="5">
        <f>(((J66)+(J67))+(J68))+(J69)</f>
        <v>3755.8</v>
      </c>
      <c r="K72" s="5">
        <f>(((K66)+(K67))+(K68))+(K69)</f>
        <v>6040</v>
      </c>
      <c r="L72" s="5">
        <f t="shared" ref="L72:L84" si="32">(J72)-(K72)</f>
        <v>-2284.1999999999998</v>
      </c>
      <c r="M72" s="6">
        <f t="shared" ref="M72:M84" si="33">IF(K72=0,"",(J72)/(K72))</f>
        <v>0.62182119205298014</v>
      </c>
      <c r="N72" s="5">
        <f>(((N66)+(N67))+(N68))+(N69)</f>
        <v>9573.76</v>
      </c>
      <c r="O72" s="5">
        <f>(((O66)+(O67))+(O68))+(O69)</f>
        <v>6040</v>
      </c>
      <c r="P72" s="5">
        <f t="shared" ref="P72:P84" si="34">(N72)-(O72)</f>
        <v>3533.76</v>
      </c>
      <c r="Q72" s="6">
        <f t="shared" ref="Q72:Q84" si="35">IF(O72=0,"",(N72)/(O72))</f>
        <v>1.5850596026490067</v>
      </c>
      <c r="R72" s="13">
        <f>SUM(R66:R71)</f>
        <v>55491.33</v>
      </c>
      <c r="S72" s="13">
        <f>SUM(S66:S71)</f>
        <v>69284.69</v>
      </c>
      <c r="T72" s="13">
        <f>SUM(T66:T71)</f>
        <v>116370.85</v>
      </c>
      <c r="U72" s="13">
        <f>SUM(U66:U71)</f>
        <v>114706.85</v>
      </c>
      <c r="V72" s="13">
        <f>SUM(V66:V71)</f>
        <v>243540.37000000002</v>
      </c>
      <c r="W72" s="13">
        <f>SUM(W67:W71)</f>
        <v>112851.04</v>
      </c>
      <c r="X72" s="19">
        <f>SUM(X66:X71)</f>
        <v>522500</v>
      </c>
    </row>
    <row r="73" spans="1:24" s="12" customFormat="1" ht="12.75" customHeight="1" x14ac:dyDescent="0.15">
      <c r="A73" s="1" t="s">
        <v>68</v>
      </c>
      <c r="B73" s="2"/>
      <c r="C73" s="2"/>
      <c r="D73" s="3">
        <f t="shared" si="28"/>
        <v>0</v>
      </c>
      <c r="E73" s="4" t="str">
        <f t="shared" si="29"/>
        <v/>
      </c>
      <c r="F73" s="2"/>
      <c r="G73" s="2"/>
      <c r="H73" s="3">
        <f t="shared" si="30"/>
        <v>0</v>
      </c>
      <c r="I73" s="4" t="str">
        <f t="shared" si="31"/>
        <v/>
      </c>
      <c r="J73" s="2"/>
      <c r="K73" s="2"/>
      <c r="L73" s="3">
        <f t="shared" si="32"/>
        <v>0</v>
      </c>
      <c r="M73" s="4" t="str">
        <f t="shared" si="33"/>
        <v/>
      </c>
      <c r="N73" s="2"/>
      <c r="O73" s="2"/>
      <c r="P73" s="3">
        <f t="shared" si="34"/>
        <v>0</v>
      </c>
      <c r="Q73" s="4" t="str">
        <f t="shared" si="35"/>
        <v/>
      </c>
      <c r="R73" s="11"/>
      <c r="S73" s="11"/>
      <c r="T73" s="11"/>
      <c r="U73" s="11"/>
      <c r="V73" s="11"/>
      <c r="W73" s="11"/>
      <c r="X73" s="11"/>
    </row>
    <row r="74" spans="1:24" s="12" customFormat="1" ht="12.75" customHeight="1" x14ac:dyDescent="0.15">
      <c r="A74" s="1" t="s">
        <v>69</v>
      </c>
      <c r="B74" s="3">
        <f>725</f>
        <v>725</v>
      </c>
      <c r="C74" s="3">
        <f>558</f>
        <v>558</v>
      </c>
      <c r="D74" s="3">
        <f t="shared" si="28"/>
        <v>167</v>
      </c>
      <c r="E74" s="4">
        <f t="shared" si="29"/>
        <v>1.2992831541218639</v>
      </c>
      <c r="F74" s="3">
        <f>350</f>
        <v>350</v>
      </c>
      <c r="G74" s="3">
        <f>558</f>
        <v>558</v>
      </c>
      <c r="H74" s="3">
        <f t="shared" si="30"/>
        <v>-208</v>
      </c>
      <c r="I74" s="4">
        <f t="shared" si="31"/>
        <v>0.62724014336917566</v>
      </c>
      <c r="J74" s="3">
        <f>350</f>
        <v>350</v>
      </c>
      <c r="K74" s="3">
        <f>558</f>
        <v>558</v>
      </c>
      <c r="L74" s="3">
        <f t="shared" si="32"/>
        <v>-208</v>
      </c>
      <c r="M74" s="4">
        <f t="shared" si="33"/>
        <v>0.62724014336917566</v>
      </c>
      <c r="N74" s="3">
        <f>725</f>
        <v>725</v>
      </c>
      <c r="O74" s="3">
        <f>558</f>
        <v>558</v>
      </c>
      <c r="P74" s="3">
        <f t="shared" si="34"/>
        <v>167</v>
      </c>
      <c r="Q74" s="4">
        <f t="shared" si="35"/>
        <v>1.2992831541218639</v>
      </c>
      <c r="R74" s="7">
        <v>7200</v>
      </c>
      <c r="S74" s="7">
        <v>11075</v>
      </c>
      <c r="T74" s="7">
        <v>5750</v>
      </c>
      <c r="U74" s="7">
        <v>5750</v>
      </c>
      <c r="V74" s="7">
        <v>6060</v>
      </c>
      <c r="W74" s="7">
        <v>8530</v>
      </c>
      <c r="X74" s="11">
        <v>12500</v>
      </c>
    </row>
    <row r="75" spans="1:24" s="12" customFormat="1" ht="12.75" customHeight="1" x14ac:dyDescent="0.15">
      <c r="A75" s="1" t="s">
        <v>83</v>
      </c>
      <c r="B75" s="3"/>
      <c r="C75" s="3"/>
      <c r="D75" s="3"/>
      <c r="E75" s="4"/>
      <c r="F75" s="3"/>
      <c r="G75" s="3"/>
      <c r="H75" s="3"/>
      <c r="I75" s="4"/>
      <c r="J75" s="3"/>
      <c r="K75" s="3"/>
      <c r="L75" s="3"/>
      <c r="M75" s="4"/>
      <c r="N75" s="3"/>
      <c r="O75" s="3"/>
      <c r="P75" s="3"/>
      <c r="Q75" s="4"/>
      <c r="R75" s="7">
        <v>0</v>
      </c>
      <c r="S75" s="7">
        <v>0</v>
      </c>
      <c r="T75" s="7">
        <v>0</v>
      </c>
      <c r="U75" s="7"/>
      <c r="V75" s="7">
        <v>0</v>
      </c>
      <c r="W75" s="7">
        <v>102.5</v>
      </c>
      <c r="X75" s="11">
        <v>0</v>
      </c>
    </row>
    <row r="76" spans="1:24" s="12" customFormat="1" ht="12.75" customHeight="1" x14ac:dyDescent="0.15">
      <c r="A76" s="1" t="s">
        <v>84</v>
      </c>
      <c r="B76" s="3">
        <f>300</f>
        <v>300</v>
      </c>
      <c r="C76" s="2"/>
      <c r="D76" s="3">
        <f t="shared" si="28"/>
        <v>300</v>
      </c>
      <c r="E76" s="4" t="str">
        <f t="shared" si="29"/>
        <v/>
      </c>
      <c r="F76" s="2"/>
      <c r="G76" s="2"/>
      <c r="H76" s="3">
        <f t="shared" si="30"/>
        <v>0</v>
      </c>
      <c r="I76" s="4" t="str">
        <f t="shared" si="31"/>
        <v/>
      </c>
      <c r="J76" s="2"/>
      <c r="K76" s="2"/>
      <c r="L76" s="3">
        <f t="shared" si="32"/>
        <v>0</v>
      </c>
      <c r="M76" s="4" t="str">
        <f t="shared" si="33"/>
        <v/>
      </c>
      <c r="N76" s="2"/>
      <c r="O76" s="2"/>
      <c r="P76" s="3">
        <f t="shared" si="34"/>
        <v>0</v>
      </c>
      <c r="Q76" s="4" t="str">
        <f t="shared" si="35"/>
        <v/>
      </c>
      <c r="R76" s="7">
        <v>0</v>
      </c>
      <c r="S76" s="7">
        <v>0</v>
      </c>
      <c r="T76" s="7">
        <v>2520</v>
      </c>
      <c r="U76" s="7">
        <v>2520</v>
      </c>
      <c r="V76" s="7">
        <v>1107</v>
      </c>
      <c r="W76" s="7">
        <v>1323</v>
      </c>
      <c r="X76" s="11">
        <v>3375</v>
      </c>
    </row>
    <row r="77" spans="1:24" s="12" customFormat="1" ht="12.75" customHeight="1" x14ac:dyDescent="0.15">
      <c r="A77" s="1" t="s">
        <v>70</v>
      </c>
      <c r="B77" s="2"/>
      <c r="C77" s="3">
        <f>250</f>
        <v>250</v>
      </c>
      <c r="D77" s="3">
        <f t="shared" si="28"/>
        <v>-250</v>
      </c>
      <c r="E77" s="4">
        <f t="shared" si="29"/>
        <v>0</v>
      </c>
      <c r="F77" s="2"/>
      <c r="G77" s="3">
        <f>250</f>
        <v>250</v>
      </c>
      <c r="H77" s="3">
        <f t="shared" si="30"/>
        <v>-250</v>
      </c>
      <c r="I77" s="4">
        <f t="shared" si="31"/>
        <v>0</v>
      </c>
      <c r="J77" s="2"/>
      <c r="K77" s="3">
        <f>250</f>
        <v>250</v>
      </c>
      <c r="L77" s="3">
        <f t="shared" si="32"/>
        <v>-250</v>
      </c>
      <c r="M77" s="4">
        <f t="shared" si="33"/>
        <v>0</v>
      </c>
      <c r="N77" s="2"/>
      <c r="O77" s="3">
        <f>250</f>
        <v>250</v>
      </c>
      <c r="P77" s="3">
        <f t="shared" si="34"/>
        <v>-250</v>
      </c>
      <c r="Q77" s="4">
        <f t="shared" si="35"/>
        <v>0</v>
      </c>
      <c r="R77" s="7">
        <v>9673.7999999999993</v>
      </c>
      <c r="S77" s="8">
        <v>43021.42</v>
      </c>
      <c r="T77" s="7">
        <v>88340.75</v>
      </c>
      <c r="U77" s="7">
        <v>88340.75</v>
      </c>
      <c r="V77" s="7">
        <v>96057.8</v>
      </c>
      <c r="W77" s="7">
        <v>116267.66</v>
      </c>
      <c r="X77" s="11">
        <v>150000</v>
      </c>
    </row>
    <row r="78" spans="1:24" s="12" customFormat="1" ht="12.75" customHeight="1" x14ac:dyDescent="0.15">
      <c r="A78" s="1" t="s">
        <v>71</v>
      </c>
      <c r="B78" s="5">
        <f>(((B73)+(B74))+(B76))+(B77)</f>
        <v>1025</v>
      </c>
      <c r="C78" s="5">
        <f>(((C73)+(C74))+(C76))+(C77)</f>
        <v>808</v>
      </c>
      <c r="D78" s="5">
        <f t="shared" si="28"/>
        <v>217</v>
      </c>
      <c r="E78" s="6">
        <f t="shared" si="29"/>
        <v>1.2685643564356435</v>
      </c>
      <c r="F78" s="5">
        <f>(((F73)+(F74))+(F76))+(F77)</f>
        <v>350</v>
      </c>
      <c r="G78" s="5">
        <f>(((G73)+(G74))+(G76))+(G77)</f>
        <v>808</v>
      </c>
      <c r="H78" s="5">
        <f t="shared" si="30"/>
        <v>-458</v>
      </c>
      <c r="I78" s="6">
        <f t="shared" si="31"/>
        <v>0.43316831683168316</v>
      </c>
      <c r="J78" s="5">
        <f>(((J73)+(J74))+(J76))+(J77)</f>
        <v>350</v>
      </c>
      <c r="K78" s="5">
        <f>(((K73)+(K74))+(K76))+(K77)</f>
        <v>808</v>
      </c>
      <c r="L78" s="5">
        <f t="shared" si="32"/>
        <v>-458</v>
      </c>
      <c r="M78" s="6">
        <f t="shared" si="33"/>
        <v>0.43316831683168316</v>
      </c>
      <c r="N78" s="5">
        <f>(((N73)+(N74))+(N76))+(N77)</f>
        <v>725</v>
      </c>
      <c r="O78" s="5">
        <f>(((O73)+(O74))+(O76))+(O77)</f>
        <v>808</v>
      </c>
      <c r="P78" s="5">
        <f t="shared" si="34"/>
        <v>-83</v>
      </c>
      <c r="Q78" s="6">
        <f t="shared" si="35"/>
        <v>0.8972772277227723</v>
      </c>
      <c r="R78" s="13">
        <f t="shared" ref="R78:W78" si="36">SUM(R74:R77)</f>
        <v>16873.8</v>
      </c>
      <c r="S78" s="13">
        <f t="shared" si="36"/>
        <v>54096.42</v>
      </c>
      <c r="T78" s="13">
        <f t="shared" si="36"/>
        <v>96610.75</v>
      </c>
      <c r="U78" s="13">
        <f t="shared" si="36"/>
        <v>96610.75</v>
      </c>
      <c r="V78" s="13">
        <f t="shared" si="36"/>
        <v>103224.8</v>
      </c>
      <c r="W78" s="16">
        <f t="shared" si="36"/>
        <v>126223.16</v>
      </c>
      <c r="X78" s="19">
        <f>SUM(X74:X77)</f>
        <v>165875</v>
      </c>
    </row>
    <row r="79" spans="1:24" s="12" customFormat="1" ht="12.75" customHeight="1" x14ac:dyDescent="0.15">
      <c r="A79" s="1" t="s">
        <v>72</v>
      </c>
      <c r="B79" s="3">
        <f>559.52</f>
        <v>559.52</v>
      </c>
      <c r="C79" s="3">
        <f>1066</f>
        <v>1066</v>
      </c>
      <c r="D79" s="3">
        <f t="shared" si="28"/>
        <v>-506.48</v>
      </c>
      <c r="E79" s="4">
        <f t="shared" si="29"/>
        <v>0.52487804878048783</v>
      </c>
      <c r="F79" s="3">
        <f>1199.1</f>
        <v>1199.0999999999999</v>
      </c>
      <c r="G79" s="3">
        <f>1066</f>
        <v>1066</v>
      </c>
      <c r="H79" s="3">
        <f t="shared" si="30"/>
        <v>133.09999999999991</v>
      </c>
      <c r="I79" s="4">
        <f t="shared" si="31"/>
        <v>1.124859287054409</v>
      </c>
      <c r="J79" s="3">
        <f>230.88</f>
        <v>230.88</v>
      </c>
      <c r="K79" s="3">
        <f>1066</f>
        <v>1066</v>
      </c>
      <c r="L79" s="3">
        <f t="shared" si="32"/>
        <v>-835.12</v>
      </c>
      <c r="M79" s="4">
        <f t="shared" si="33"/>
        <v>0.21658536585365853</v>
      </c>
      <c r="N79" s="3">
        <f>746.44</f>
        <v>746.44</v>
      </c>
      <c r="O79" s="3">
        <f>1066</f>
        <v>1066</v>
      </c>
      <c r="P79" s="3">
        <f t="shared" si="34"/>
        <v>-319.55999999999995</v>
      </c>
      <c r="Q79" s="4">
        <f t="shared" si="35"/>
        <v>0.70022514071294562</v>
      </c>
      <c r="R79" s="7">
        <v>11027.86</v>
      </c>
      <c r="S79" s="7">
        <v>17642.73</v>
      </c>
      <c r="T79" s="7">
        <v>20981.22</v>
      </c>
      <c r="U79" s="7">
        <v>20981.22</v>
      </c>
      <c r="V79" s="7">
        <v>21655.07</v>
      </c>
      <c r="W79" s="7">
        <v>25761.67</v>
      </c>
      <c r="X79" s="11">
        <v>25000</v>
      </c>
    </row>
    <row r="80" spans="1:24" s="12" customFormat="1" ht="12.75" customHeight="1" x14ac:dyDescent="0.15">
      <c r="A80" s="1" t="s">
        <v>73</v>
      </c>
      <c r="B80" s="2"/>
      <c r="C80" s="3">
        <f>233</f>
        <v>233</v>
      </c>
      <c r="D80" s="3">
        <f t="shared" si="28"/>
        <v>-233</v>
      </c>
      <c r="E80" s="4">
        <f t="shared" si="29"/>
        <v>0</v>
      </c>
      <c r="F80" s="2"/>
      <c r="G80" s="3">
        <f>233</f>
        <v>233</v>
      </c>
      <c r="H80" s="3">
        <f t="shared" si="30"/>
        <v>-233</v>
      </c>
      <c r="I80" s="4">
        <f t="shared" si="31"/>
        <v>0</v>
      </c>
      <c r="J80" s="3">
        <f>912.83</f>
        <v>912.83</v>
      </c>
      <c r="K80" s="3">
        <f>233</f>
        <v>233</v>
      </c>
      <c r="L80" s="3">
        <f t="shared" si="32"/>
        <v>679.83</v>
      </c>
      <c r="M80" s="4">
        <f t="shared" si="33"/>
        <v>3.9177253218884123</v>
      </c>
      <c r="N80" s="2"/>
      <c r="O80" s="3">
        <f>233</f>
        <v>233</v>
      </c>
      <c r="P80" s="3">
        <f t="shared" si="34"/>
        <v>-233</v>
      </c>
      <c r="Q80" s="4">
        <f t="shared" si="35"/>
        <v>0</v>
      </c>
      <c r="R80" s="7">
        <v>912.83</v>
      </c>
      <c r="S80" s="7">
        <v>3305.09</v>
      </c>
      <c r="T80" s="7">
        <v>2330.4</v>
      </c>
      <c r="U80" s="7">
        <v>2330.4</v>
      </c>
      <c r="V80" s="7">
        <v>2171.0300000000002</v>
      </c>
      <c r="W80" s="7">
        <v>4754.8</v>
      </c>
      <c r="X80" s="11">
        <v>3000</v>
      </c>
    </row>
    <row r="81" spans="1:24" s="12" customFormat="1" ht="12.75" customHeight="1" x14ac:dyDescent="0.15">
      <c r="A81" s="1" t="s">
        <v>74</v>
      </c>
      <c r="B81" s="3">
        <f>100</f>
        <v>100</v>
      </c>
      <c r="C81" s="3">
        <f>41</f>
        <v>41</v>
      </c>
      <c r="D81" s="3">
        <f t="shared" si="28"/>
        <v>59</v>
      </c>
      <c r="E81" s="4">
        <f t="shared" si="29"/>
        <v>2.4390243902439024</v>
      </c>
      <c r="F81" s="2"/>
      <c r="G81" s="3">
        <f>41</f>
        <v>41</v>
      </c>
      <c r="H81" s="3">
        <f t="shared" si="30"/>
        <v>-41</v>
      </c>
      <c r="I81" s="4">
        <f t="shared" si="31"/>
        <v>0</v>
      </c>
      <c r="J81" s="2"/>
      <c r="K81" s="3">
        <f>41</f>
        <v>41</v>
      </c>
      <c r="L81" s="3">
        <f t="shared" si="32"/>
        <v>-41</v>
      </c>
      <c r="M81" s="4">
        <f t="shared" si="33"/>
        <v>0</v>
      </c>
      <c r="N81" s="3">
        <f>10</f>
        <v>10</v>
      </c>
      <c r="O81" s="3">
        <f>41</f>
        <v>41</v>
      </c>
      <c r="P81" s="3">
        <f t="shared" si="34"/>
        <v>-31</v>
      </c>
      <c r="Q81" s="4">
        <f t="shared" si="35"/>
        <v>0.24390243902439024</v>
      </c>
      <c r="R81" s="7">
        <v>326.3</v>
      </c>
      <c r="S81" s="7">
        <v>1836.04</v>
      </c>
      <c r="T81" s="7">
        <v>3821.6</v>
      </c>
      <c r="U81" s="7">
        <v>3821.6</v>
      </c>
      <c r="V81" s="7">
        <v>750</v>
      </c>
      <c r="W81" s="7">
        <v>100</v>
      </c>
      <c r="X81" s="11">
        <v>0</v>
      </c>
    </row>
    <row r="82" spans="1:24" s="12" customFormat="1" ht="12.75" customHeight="1" x14ac:dyDescent="0.15">
      <c r="A82" s="1" t="s">
        <v>75</v>
      </c>
      <c r="B82" s="3">
        <f>458.93</f>
        <v>458.93</v>
      </c>
      <c r="C82" s="3">
        <f>833</f>
        <v>833</v>
      </c>
      <c r="D82" s="3">
        <f t="shared" si="28"/>
        <v>-374.07</v>
      </c>
      <c r="E82" s="4">
        <f t="shared" si="29"/>
        <v>0.55093637454981992</v>
      </c>
      <c r="F82" s="3">
        <f>189.07</f>
        <v>189.07</v>
      </c>
      <c r="G82" s="3">
        <f>833</f>
        <v>833</v>
      </c>
      <c r="H82" s="3">
        <f t="shared" si="30"/>
        <v>-643.93000000000006</v>
      </c>
      <c r="I82" s="4">
        <f t="shared" si="31"/>
        <v>0.22697478991596637</v>
      </c>
      <c r="J82" s="3">
        <f>2227.6</f>
        <v>2227.6</v>
      </c>
      <c r="K82" s="3">
        <f>833</f>
        <v>833</v>
      </c>
      <c r="L82" s="3">
        <f t="shared" si="32"/>
        <v>1394.6</v>
      </c>
      <c r="M82" s="4">
        <f t="shared" si="33"/>
        <v>2.6741896758703478</v>
      </c>
      <c r="N82" s="3">
        <f>555.32</f>
        <v>555.32000000000005</v>
      </c>
      <c r="O82" s="3">
        <f>833</f>
        <v>833</v>
      </c>
      <c r="P82" s="3">
        <f t="shared" si="34"/>
        <v>-277.67999999999995</v>
      </c>
      <c r="Q82" s="4">
        <f t="shared" si="35"/>
        <v>0.66665066026410569</v>
      </c>
      <c r="R82" s="7">
        <v>14663.35</v>
      </c>
      <c r="S82" s="7">
        <v>20795.330000000002</v>
      </c>
      <c r="T82" s="7">
        <v>24819.94</v>
      </c>
      <c r="U82" s="7">
        <v>24819.94</v>
      </c>
      <c r="V82" s="7">
        <v>32259.39</v>
      </c>
      <c r="W82" s="7">
        <v>38495.089999999997</v>
      </c>
      <c r="X82" s="11">
        <v>37500</v>
      </c>
    </row>
    <row r="83" spans="1:24" s="12" customFormat="1" ht="12.75" customHeight="1" x14ac:dyDescent="0.15">
      <c r="A83" s="1" t="s">
        <v>76</v>
      </c>
      <c r="B83" s="5" t="e">
        <f>((((((((((((((((((((((B37)+(B38))+(B39))+(B40))+(B41))+(B42))+(B43))+(B44))+(B45))+(B49))+(B50))+(B51))+(B53))+(B55))+(B56))+(B57))+(B65))+(B72))+(B78))+(B79))+(B80))+(B81))+(B82)</f>
        <v>#REF!</v>
      </c>
      <c r="C83" s="5" t="e">
        <f>((((((((((((((((((((((C37)+(C38))+(C39))+(C40))+(C41))+(C42))+(C43))+(C44))+(C45))+(C49))+(C50))+(C51))+(C53))+(C55))+(C56))+(C57))+(C65))+(C72))+(C78))+(C79))+(C80))+(C81))+(C82)</f>
        <v>#REF!</v>
      </c>
      <c r="D83" s="5" t="e">
        <f t="shared" si="28"/>
        <v>#REF!</v>
      </c>
      <c r="E83" s="6" t="e">
        <f t="shared" si="29"/>
        <v>#REF!</v>
      </c>
      <c r="F83" s="5" t="e">
        <f>((((((((((((((((((((((F37)+(F38))+(F39))+(F40))+(F41))+(F42))+(F43))+(F44))+(F45))+(F49))+(F50))+(F51))+(F53))+(F55))+(F56))+(F57))+(F65))+(F72))+(F78))+(F79))+(F80))+(F81))+(F82)</f>
        <v>#REF!</v>
      </c>
      <c r="G83" s="5" t="e">
        <f>((((((((((((((((((((((G37)+(G38))+(G39))+(G40))+(G41))+(G42))+(G43))+(G44))+(G45))+(G49))+(G50))+(G51))+(G53))+(G55))+(G56))+(G57))+(G65))+(G72))+(G78))+(G79))+(G80))+(G81))+(G82)</f>
        <v>#REF!</v>
      </c>
      <c r="H83" s="5" t="e">
        <f t="shared" si="30"/>
        <v>#REF!</v>
      </c>
      <c r="I83" s="6" t="e">
        <f t="shared" si="31"/>
        <v>#REF!</v>
      </c>
      <c r="J83" s="5" t="e">
        <f>((((((((((((((((((((((J37)+(J38))+(J39))+(J40))+(J41))+(J42))+(J43))+(J44))+(J45))+(J49))+(J50))+(J51))+(J53))+(J55))+(J56))+(J57))+(J65))+(J72))+(J78))+(J79))+(J80))+(J81))+(J82)</f>
        <v>#REF!</v>
      </c>
      <c r="K83" s="5" t="e">
        <f>((((((((((((((((((((((K37)+(K38))+(K39))+(K40))+(K41))+(K42))+(K43))+(K44))+(K45))+(K49))+(K50))+(K51))+(K53))+(K55))+(K56))+(K57))+(K65))+(K72))+(K78))+(K79))+(K80))+(K81))+(K82)</f>
        <v>#REF!</v>
      </c>
      <c r="L83" s="5" t="e">
        <f t="shared" si="32"/>
        <v>#REF!</v>
      </c>
      <c r="M83" s="6" t="e">
        <f t="shared" si="33"/>
        <v>#REF!</v>
      </c>
      <c r="N83" s="5" t="e">
        <f>((((((((((((((((((((((N37)+(N38))+(N39))+(N40))+(N41))+(N42))+(N43))+(N44))+(N45))+(N49))+(N50))+(N51))+(N53))+(N55))+(N56))+(N57))+(N65))+(N72))+(N78))+(N79))+(N80))+(N81))+(N82)</f>
        <v>#REF!</v>
      </c>
      <c r="O83" s="5" t="e">
        <f>((((((((((((((((((((((O37)+(O38))+(O39))+(O40))+(O41))+(O42))+(O43))+(O44))+(O45))+(O49))+(O50))+(O51))+(O53))+(O55))+(O56))+(O57))+(O65))+(O72))+(O78))+(O79))+(O80))+(O81))+(O82)</f>
        <v>#REF!</v>
      </c>
      <c r="P83" s="5" t="e">
        <f t="shared" si="34"/>
        <v>#REF!</v>
      </c>
      <c r="Q83" s="6" t="e">
        <f t="shared" si="35"/>
        <v>#REF!</v>
      </c>
      <c r="R83" s="13">
        <f>+R37+R38+R39+R40+R41+R42+R43+R44+R45+R47+R49+R50+R51+R52+R53+R55+R56+R57+R65+R72+R78+R79+R80+R81+R82</f>
        <v>319784.29999999993</v>
      </c>
      <c r="S83" s="13">
        <f>+S37+S38+S39+S40+S41+S42+S43+S44+S45+S47+S49+S50+S51+S52+S53+S54+S55+S56+S57+S65+S72+S78+S79+S80+S81+S82</f>
        <v>407303.01999999996</v>
      </c>
      <c r="T83" s="13">
        <f>+T37+T38+T39+T40+T41+T42+T43+T44+T45+T46+T47+T49+T50+T51+T52+T53+T54+T55+T56+T57+T65+T72+T78+T79+T80+T81+T82</f>
        <v>626239.19999999984</v>
      </c>
      <c r="U83" s="13" t="e">
        <f>+U37+U38+U39+U40+U41+U42+U43+U44+U45+U46+U47+U49+U50+U51+U52+U53+U54+U55+U56+U57+U65+U72+U78+U79+U80+U81+U82</f>
        <v>#REF!</v>
      </c>
      <c r="V83" s="13">
        <f>SUM(V37:V57,V65,V72,V78,V79,V80,V81,V82)</f>
        <v>829247.57000000007</v>
      </c>
      <c r="W83" s="13">
        <f>SUM(W37:W57,W65,W72,W78,W79,W80,W81,W82)</f>
        <v>799634.0900000002</v>
      </c>
      <c r="X83" s="19">
        <f>SUM(X37:X57,X65,X65,X72,X78,X79,X80,X81,X82)</f>
        <v>1360570</v>
      </c>
    </row>
    <row r="84" spans="1:24" s="12" customFormat="1" ht="12.75" customHeight="1" x14ac:dyDescent="0.15">
      <c r="A84" s="1" t="s">
        <v>77</v>
      </c>
      <c r="B84" s="5" t="e">
        <f>(B31)-(B83)</f>
        <v>#REF!</v>
      </c>
      <c r="C84" s="5" t="e">
        <f>(C31)-(C83)</f>
        <v>#REF!</v>
      </c>
      <c r="D84" s="5" t="e">
        <f t="shared" si="28"/>
        <v>#REF!</v>
      </c>
      <c r="E84" s="6" t="e">
        <f t="shared" si="29"/>
        <v>#REF!</v>
      </c>
      <c r="F84" s="5" t="e">
        <f>(F31)-(F83)</f>
        <v>#REF!</v>
      </c>
      <c r="G84" s="5" t="e">
        <f>(G31)-(G83)</f>
        <v>#REF!</v>
      </c>
      <c r="H84" s="5" t="e">
        <f t="shared" si="30"/>
        <v>#REF!</v>
      </c>
      <c r="I84" s="6" t="e">
        <f t="shared" si="31"/>
        <v>#REF!</v>
      </c>
      <c r="J84" s="5" t="e">
        <f>(J31)-(J83)</f>
        <v>#REF!</v>
      </c>
      <c r="K84" s="5" t="e">
        <f>(K31)-(K83)</f>
        <v>#REF!</v>
      </c>
      <c r="L84" s="5" t="e">
        <f t="shared" si="32"/>
        <v>#REF!</v>
      </c>
      <c r="M84" s="6" t="e">
        <f t="shared" si="33"/>
        <v>#REF!</v>
      </c>
      <c r="N84" s="5" t="e">
        <f>(N31)-(N83)</f>
        <v>#REF!</v>
      </c>
      <c r="O84" s="5" t="e">
        <f>(O31)-(O83)</f>
        <v>#REF!</v>
      </c>
      <c r="P84" s="5" t="e">
        <f t="shared" si="34"/>
        <v>#REF!</v>
      </c>
      <c r="Q84" s="6" t="e">
        <f t="shared" si="35"/>
        <v>#REF!</v>
      </c>
      <c r="R84" s="13">
        <f t="shared" ref="R84:W84" si="37">+R31-R83</f>
        <v>17125.9200000001</v>
      </c>
      <c r="S84" s="13">
        <f t="shared" si="37"/>
        <v>-5312.5499999999884</v>
      </c>
      <c r="T84" s="13">
        <f t="shared" si="37"/>
        <v>-3371.6399999997811</v>
      </c>
      <c r="U84" s="13" t="e">
        <f t="shared" si="37"/>
        <v>#REF!</v>
      </c>
      <c r="V84" s="13">
        <f t="shared" si="37"/>
        <v>-246.22000000008848</v>
      </c>
      <c r="W84" s="13">
        <f t="shared" si="37"/>
        <v>-39339.210000000079</v>
      </c>
      <c r="X84" s="19">
        <f>SUM(X31-X83)</f>
        <v>2430</v>
      </c>
    </row>
    <row r="85" spans="1:24" ht="12.75" customHeight="1" x14ac:dyDescent="0.15"/>
    <row r="86" spans="1:24" ht="12.75" customHeight="1" x14ac:dyDescent="0.15">
      <c r="T86" s="15"/>
    </row>
    <row r="87" spans="1:24" ht="12.75" customHeight="1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U87" s="14"/>
    </row>
  </sheetData>
  <sheetProtection selectLockedCells="1" selectUnlockedCells="1"/>
  <mergeCells count="2">
    <mergeCell ref="A1:U1"/>
    <mergeCell ref="A2:U2"/>
  </mergeCells>
  <phoneticPr fontId="3" type="noConversion"/>
  <pageMargins left="0.7" right="0.7" top="0.75" bottom="0.75" header="0.3" footer="0.3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ATA Budgets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</dc:creator>
  <cp:lastModifiedBy>Microsoft Office User</cp:lastModifiedBy>
  <cp:lastPrinted>2019-03-16T17:17:24Z</cp:lastPrinted>
  <dcterms:created xsi:type="dcterms:W3CDTF">2016-01-29T16:14:53Z</dcterms:created>
  <dcterms:modified xsi:type="dcterms:W3CDTF">2019-07-12T22:02:54Z</dcterms:modified>
</cp:coreProperties>
</file>