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checkCompatibility="1"/>
  <mc:AlternateContent xmlns:mc="http://schemas.openxmlformats.org/markup-compatibility/2006">
    <mc:Choice Requires="x15">
      <x15ac:absPath xmlns:x15ac="http://schemas.microsoft.com/office/spreadsheetml/2010/11/ac" url="/Users/jenniferwalsh/Desktop/March 2021 Board Meeting/"/>
    </mc:Choice>
  </mc:AlternateContent>
  <bookViews>
    <workbookView xWindow="0" yWindow="460" windowWidth="25060" windowHeight="15240"/>
  </bookViews>
  <sheets>
    <sheet name="Profit and Loss" sheetId="1" r:id="rId1"/>
  </sheets>
  <externalReferences>
    <externalReference r:id="rId2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7" i="1"/>
  <c r="B102" i="1"/>
  <c r="B101" i="1"/>
  <c r="B100" i="1"/>
  <c r="B97" i="1"/>
  <c r="B88" i="1"/>
  <c r="B87" i="1"/>
  <c r="C87" i="1"/>
  <c r="B79" i="1"/>
  <c r="B71" i="1"/>
  <c r="C62" i="1"/>
  <c r="B60" i="1"/>
  <c r="B7" i="1"/>
  <c r="B8" i="1"/>
  <c r="B9" i="1"/>
  <c r="B10" i="1"/>
  <c r="B12" i="1"/>
  <c r="B14" i="1"/>
  <c r="B13" i="1"/>
  <c r="B15" i="1"/>
  <c r="B16" i="1"/>
  <c r="B17" i="1"/>
  <c r="B18" i="1"/>
  <c r="B20" i="1"/>
  <c r="B21" i="1"/>
  <c r="B22" i="1"/>
  <c r="B23" i="1"/>
  <c r="B25" i="1"/>
  <c r="B26" i="1"/>
  <c r="B27" i="1"/>
  <c r="B29" i="1"/>
  <c r="B30" i="1"/>
  <c r="B31" i="1"/>
  <c r="B33" i="1"/>
  <c r="B35" i="1"/>
  <c r="B36" i="1"/>
  <c r="B39" i="1"/>
  <c r="B40" i="1"/>
  <c r="B41" i="1"/>
  <c r="B42" i="1"/>
  <c r="B43" i="1"/>
  <c r="B44" i="1"/>
  <c r="B45" i="1"/>
  <c r="B46" i="1"/>
  <c r="B48" i="1"/>
  <c r="B49" i="1"/>
  <c r="B50" i="1"/>
  <c r="B51" i="1"/>
  <c r="B52" i="1"/>
  <c r="B53" i="1"/>
  <c r="B54" i="1"/>
  <c r="B55" i="1"/>
  <c r="B56" i="1"/>
  <c r="B58" i="1"/>
  <c r="B59" i="1"/>
  <c r="B61" i="1"/>
  <c r="B63" i="1"/>
  <c r="B64" i="1"/>
  <c r="B65" i="1"/>
  <c r="B66" i="1"/>
  <c r="B68" i="1"/>
  <c r="B69" i="1"/>
  <c r="B70" i="1"/>
  <c r="B72" i="1"/>
  <c r="B73" i="1"/>
  <c r="B74" i="1"/>
  <c r="B75" i="1"/>
  <c r="B76" i="1"/>
  <c r="B77" i="1"/>
  <c r="B78" i="1"/>
  <c r="B80" i="1"/>
  <c r="B81" i="1"/>
  <c r="B82" i="1"/>
  <c r="B84" i="1"/>
  <c r="B85" i="1"/>
  <c r="B86" i="1"/>
  <c r="B89" i="1"/>
  <c r="B90" i="1"/>
  <c r="B91" i="1"/>
  <c r="B92" i="1"/>
  <c r="B93" i="1"/>
  <c r="B94" i="1"/>
  <c r="B95" i="1"/>
  <c r="B96" i="1"/>
  <c r="B98" i="1"/>
  <c r="B99" i="1"/>
  <c r="B62" i="1"/>
  <c r="B19" i="1"/>
  <c r="B83" i="1"/>
  <c r="B11" i="1"/>
  <c r="B32" i="1"/>
  <c r="B47" i="1"/>
  <c r="B24" i="1"/>
  <c r="B37" i="1"/>
  <c r="B57" i="1"/>
  <c r="B28" i="1"/>
  <c r="B67" i="1"/>
  <c r="B34" i="1"/>
  <c r="B38" i="1"/>
  <c r="C100" i="1"/>
  <c r="C99" i="1"/>
  <c r="C96" i="1"/>
  <c r="C95" i="1"/>
  <c r="C94" i="1"/>
  <c r="C93" i="1"/>
  <c r="C92" i="1"/>
  <c r="C97" i="1"/>
  <c r="C101" i="1"/>
  <c r="C91" i="1"/>
  <c r="C90" i="1"/>
  <c r="C86" i="1"/>
  <c r="C85" i="1"/>
  <c r="C84" i="1"/>
  <c r="C83" i="1"/>
  <c r="C82" i="1"/>
  <c r="C81" i="1"/>
  <c r="C78" i="1"/>
  <c r="C79" i="1"/>
  <c r="C77" i="1"/>
  <c r="C76" i="1"/>
  <c r="C75" i="1"/>
  <c r="C74" i="1"/>
  <c r="C73" i="1"/>
  <c r="C72" i="1"/>
  <c r="C70" i="1"/>
  <c r="C69" i="1"/>
  <c r="C68" i="1"/>
  <c r="C66" i="1"/>
  <c r="C65" i="1"/>
  <c r="C64" i="1"/>
  <c r="C63" i="1"/>
  <c r="C67" i="1"/>
  <c r="C61" i="1"/>
  <c r="C59" i="1"/>
  <c r="C58" i="1"/>
  <c r="C56" i="1"/>
  <c r="C57" i="1"/>
  <c r="C55" i="1"/>
  <c r="C54" i="1"/>
  <c r="C53" i="1"/>
  <c r="C52" i="1"/>
  <c r="C51" i="1"/>
  <c r="C50" i="1"/>
  <c r="C49" i="1"/>
  <c r="C48" i="1"/>
  <c r="C46" i="1"/>
  <c r="C45" i="1"/>
  <c r="C44" i="1"/>
  <c r="C43" i="1"/>
  <c r="C47" i="1"/>
  <c r="C42" i="1"/>
  <c r="C40" i="1"/>
  <c r="C37" i="1"/>
  <c r="C36" i="1"/>
  <c r="C33" i="1"/>
  <c r="C32" i="1"/>
  <c r="C31" i="1"/>
  <c r="C30" i="1"/>
  <c r="C29" i="1"/>
  <c r="C28" i="1"/>
  <c r="C27" i="1"/>
  <c r="C26" i="1"/>
  <c r="C25" i="1"/>
  <c r="C24" i="1"/>
  <c r="C23" i="1"/>
  <c r="C21" i="1"/>
  <c r="C20" i="1"/>
  <c r="C18" i="1"/>
  <c r="C17" i="1"/>
  <c r="C16" i="1"/>
  <c r="C15" i="1"/>
  <c r="C19" i="1"/>
  <c r="C13" i="1"/>
  <c r="C12" i="1"/>
  <c r="C14" i="1"/>
  <c r="C10" i="1"/>
  <c r="C9" i="1"/>
  <c r="C8" i="1"/>
  <c r="C7" i="1"/>
  <c r="C11" i="1"/>
  <c r="C34" i="1"/>
  <c r="C38" i="1"/>
  <c r="C88" i="1"/>
  <c r="C102" i="1"/>
</calcChain>
</file>

<file path=xl/sharedStrings.xml><?xml version="1.0" encoding="utf-8"?>
<sst xmlns="http://schemas.openxmlformats.org/spreadsheetml/2006/main" count="103" uniqueCount="103">
  <si>
    <t>Income</t>
  </si>
  <si>
    <t xml:space="preserve">   4000 Individual Donations</t>
  </si>
  <si>
    <t xml:space="preserve">      4005 Memorial Donations</t>
  </si>
  <si>
    <t xml:space="preserve">      4010 Donor Advised Funds</t>
  </si>
  <si>
    <t xml:space="preserve">      4015 Temp Restricted Donations</t>
  </si>
  <si>
    <t xml:space="preserve">   Total 4000 Individual Donations</t>
  </si>
  <si>
    <t xml:space="preserve">   4050 Membership</t>
  </si>
  <si>
    <t xml:space="preserve">      4055 Board Member Dues</t>
  </si>
  <si>
    <t xml:space="preserve">   Total 4050 Membership</t>
  </si>
  <si>
    <t xml:space="preserve">   4100 Corporate Donations</t>
  </si>
  <si>
    <t xml:space="preserve">      4130 Sponsorships</t>
  </si>
  <si>
    <t xml:space="preserve">      4140 Business Partnerships</t>
  </si>
  <si>
    <t xml:space="preserve">      4150 Corporate Matched Funds</t>
  </si>
  <si>
    <t xml:space="preserve">   Total 4100 Corporate Donations</t>
  </si>
  <si>
    <t xml:space="preserve">   4200 Non-Government Grants</t>
  </si>
  <si>
    <t xml:space="preserve">   4250 Government Grants</t>
  </si>
  <si>
    <t xml:space="preserve">   4300 Program Income</t>
  </si>
  <si>
    <t xml:space="preserve">      4320 Trail Building Workshops</t>
  </si>
  <si>
    <t xml:space="preserve">   Total 4300 Program Income</t>
  </si>
  <si>
    <t xml:space="preserve">   4350 Special Events</t>
  </si>
  <si>
    <t xml:space="preserve">      4360 Endurance Registration</t>
  </si>
  <si>
    <t xml:space="preserve">      4390 Special Event In-Kind Contributions</t>
  </si>
  <si>
    <t xml:space="preserve">   Total 4350 Special Events</t>
  </si>
  <si>
    <t xml:space="preserve">   4600 Raffle Income</t>
  </si>
  <si>
    <t xml:space="preserve">   4700 Product Sales</t>
  </si>
  <si>
    <t xml:space="preserve">      4710 Wholesale</t>
  </si>
  <si>
    <t xml:space="preserve">   Total 4700 Product Sales</t>
  </si>
  <si>
    <t xml:space="preserve">   4998 Uncategorized Income</t>
  </si>
  <si>
    <t>Total Income</t>
  </si>
  <si>
    <t>Cost of Goods Sold</t>
  </si>
  <si>
    <t xml:space="preserve">   5000 Product Cost</t>
  </si>
  <si>
    <t>Total Cost of Goods Sold</t>
  </si>
  <si>
    <t>Gross Profit</t>
  </si>
  <si>
    <t>Expenses</t>
  </si>
  <si>
    <t xml:space="preserve">   5020 Raffle Expense</t>
  </si>
  <si>
    <t xml:space="preserve">   5100 Payroll &amp; ERE</t>
  </si>
  <si>
    <t xml:space="preserve">      5110 Salaries &amp; Wages</t>
  </si>
  <si>
    <t xml:space="preserve">      5130 Health Insurance</t>
  </si>
  <si>
    <t xml:space="preserve">      5140 Payroll Taxes</t>
  </si>
  <si>
    <t xml:space="preserve">      5145 Unemployment Insurance Tax</t>
  </si>
  <si>
    <t xml:space="preserve">      5150 Staff Training</t>
  </si>
  <si>
    <t xml:space="preserve">   Total 5100 Payroll &amp; ERE</t>
  </si>
  <si>
    <t xml:space="preserve">   5200 Office rent</t>
  </si>
  <si>
    <t xml:space="preserve">   5205 Storage</t>
  </si>
  <si>
    <t xml:space="preserve">   5210 Office Equipment</t>
  </si>
  <si>
    <t xml:space="preserve">   5215 Insurance</t>
  </si>
  <si>
    <t xml:space="preserve">   5220 Printing &amp; Reproduction</t>
  </si>
  <si>
    <t xml:space="preserve">   5225 Postage &amp; Shipping</t>
  </si>
  <si>
    <t xml:space="preserve">   5250 Taxes &amp; Fees</t>
  </si>
  <si>
    <t xml:space="preserve">      5251 Payment Processing</t>
  </si>
  <si>
    <t xml:space="preserve">      5254 Bank Charges</t>
  </si>
  <si>
    <t xml:space="preserve">   Total 5250 Taxes &amp; Fees</t>
  </si>
  <si>
    <t xml:space="preserve">   5260 Advertising</t>
  </si>
  <si>
    <t xml:space="preserve">   5265 Dues &amp; Subscriptions</t>
  </si>
  <si>
    <t xml:space="preserve">      5267 Accounting</t>
  </si>
  <si>
    <t xml:space="preserve">   Total 5265 Dues &amp; Subscriptions</t>
  </si>
  <si>
    <t xml:space="preserve">   5270 Communication</t>
  </si>
  <si>
    <t xml:space="preserve">      5271 Newsletter</t>
  </si>
  <si>
    <t xml:space="preserve">      5272 Database/Software</t>
  </si>
  <si>
    <t xml:space="preserve">      5273 Phone &amp; Internet</t>
  </si>
  <si>
    <t xml:space="preserve">   Total 5270 Communication</t>
  </si>
  <si>
    <t xml:space="preserve">   5290 Depreciation Expense</t>
  </si>
  <si>
    <t xml:space="preserve">   5310 Food &amp; beverage</t>
  </si>
  <si>
    <t xml:space="preserve">   5320 Supplies</t>
  </si>
  <si>
    <t xml:space="preserve">   5345 Direct Donor Benefits</t>
  </si>
  <si>
    <t xml:space="preserve">   5350 Venue Cost</t>
  </si>
  <si>
    <t xml:space="preserve">   5360 Awards</t>
  </si>
  <si>
    <t xml:space="preserve">   5370 Member Fulfillment Items</t>
  </si>
  <si>
    <t xml:space="preserve">   5400 Travel</t>
  </si>
  <si>
    <t xml:space="preserve">      5401 Vehicle Maintenance</t>
  </si>
  <si>
    <t xml:space="preserve">      5402 Van Rental</t>
  </si>
  <si>
    <t xml:space="preserve">   Total 5400 Travel</t>
  </si>
  <si>
    <t xml:space="preserve">   5500 Professional Fee</t>
  </si>
  <si>
    <t xml:space="preserve">      5510 Direct Labor</t>
  </si>
  <si>
    <t xml:space="preserve">      5515 Indirect Labor</t>
  </si>
  <si>
    <t xml:space="preserve">   Total 5500 Professional Fee</t>
  </si>
  <si>
    <t xml:space="preserve">   5550 Grants to Charity</t>
  </si>
  <si>
    <t xml:space="preserve">   5999 Misc. Expenses</t>
  </si>
  <si>
    <t xml:space="preserve">   7000 Improvements to Public Lands</t>
  </si>
  <si>
    <t>Total Expenses</t>
  </si>
  <si>
    <t>Net Operating Income</t>
  </si>
  <si>
    <t>Other Income</t>
  </si>
  <si>
    <t xml:space="preserve">   8000 Interest Income</t>
  </si>
  <si>
    <t xml:space="preserve">   8001 Cash Back</t>
  </si>
  <si>
    <t xml:space="preserve">   8002 Dividend Income</t>
  </si>
  <si>
    <t xml:space="preserve">   8005 Realized Gain/Loss on Invest</t>
  </si>
  <si>
    <t xml:space="preserve">   8100 Unrealized Gain/Loss on Invest</t>
  </si>
  <si>
    <t xml:space="preserve">   8200 In-Kind Contributions - Tangible</t>
  </si>
  <si>
    <t xml:space="preserve">   8201 In-Kind Contributions - Intangible</t>
  </si>
  <si>
    <t>Total Other Income</t>
  </si>
  <si>
    <t>Other Expenses</t>
  </si>
  <si>
    <t xml:space="preserve">   9000 Interest Expense</t>
  </si>
  <si>
    <t>Total Other Expenses</t>
  </si>
  <si>
    <t>Net Other Income</t>
  </si>
  <si>
    <t>Net Income</t>
  </si>
  <si>
    <t>Arizona Trail Association</t>
  </si>
  <si>
    <t>Profit and Loss</t>
  </si>
  <si>
    <t>January - December 2020</t>
  </si>
  <si>
    <t>Budget</t>
  </si>
  <si>
    <t xml:space="preserve">      5266 Legal Fees</t>
  </si>
  <si>
    <t xml:space="preserve">   5340 Entertainment</t>
  </si>
  <si>
    <t>Over/(Under) Budget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</si>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</sst>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/>
    <xf numFmtId="44" fontId="0" fillId="0" borderId="0" xfId="0" applyNumberFormat="1" applyAlignment="1"/>
    <xf numFmtId="44" fontId="0" fillId="0" borderId="0" xfId="0" applyNumberFormat="1"/>
    <xf numFmtId="44" fontId="1" fillId="0" borderId="1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horizontal="right" wrapText="1"/>
    </xf>
    <xf numFmtId="44" fontId="2" fillId="0" borderId="2" xfId="0" applyNumberFormat="1" applyFont="1" applyBorder="1" applyAlignment="1">
      <alignment horizontal="right" wrapText="1"/>
    </xf>
    <xf numFmtId="44" fontId="2" fillId="0" borderId="3" xfId="0" applyNumberFormat="1" applyFont="1" applyBorder="1" applyAlignment="1">
      <alignment horizontal="right" wrapText="1"/>
    </xf>
    <xf numFmtId="4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walsh/Desktop/State%20Fund%20Environmental%20Docs/Temporal%20Gulch%20Re-Route/C:\Users\annap\Desktop\ATA\Finance\2020\Monthly%20reports\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Ov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zoomScale="135" workbookViewId="0">
      <selection activeCell="A106" sqref="A106"/>
    </sheetView>
  </sheetViews>
  <sheetFormatPr baseColWidth="10" defaultColWidth="8.83203125" defaultRowHeight="15" x14ac:dyDescent="0.2"/>
  <cols>
    <col min="1" max="1" width="40.5" customWidth="1"/>
    <col min="2" max="3" width="22" customWidth="1"/>
    <col min="4" max="4" width="22" style="13" customWidth="1"/>
  </cols>
  <sheetData>
    <row r="1" spans="1:4" ht="18" x14ac:dyDescent="0.2">
      <c r="A1" s="8" t="s">
        <v>95</v>
      </c>
      <c r="B1" s="9"/>
      <c r="C1" s="9"/>
      <c r="D1" s="12"/>
    </row>
    <row r="2" spans="1:4" ht="18" x14ac:dyDescent="0.2">
      <c r="A2" s="8" t="s">
        <v>96</v>
      </c>
      <c r="B2" s="9"/>
      <c r="C2" s="9"/>
      <c r="D2" s="12"/>
    </row>
    <row r="3" spans="1:4" x14ac:dyDescent="0.2">
      <c r="A3" s="10" t="s">
        <v>97</v>
      </c>
      <c r="B3" s="9"/>
      <c r="C3" s="9"/>
      <c r="D3" s="12"/>
    </row>
    <row r="5" spans="1:4" x14ac:dyDescent="0.2">
      <c r="A5" s="1"/>
      <c r="B5" s="2" t="s">
        <v>98</v>
      </c>
      <c r="C5" s="2" t="s">
        <v>102</v>
      </c>
      <c r="D5" s="14" t="s">
        <v>101</v>
      </c>
    </row>
    <row r="6" spans="1:4" x14ac:dyDescent="0.2">
      <c r="A6" s="3" t="s">
        <v>0</v>
      </c>
      <c r="B6" s="4"/>
      <c r="C6" s="4"/>
      <c r="D6" s="15"/>
    </row>
    <row r="7" spans="1:4" x14ac:dyDescent="0.2">
      <c r="A7" s="3" t="s">
        <v>1</v>
      </c>
      <c r="B7" s="5">
        <f>IF(ISERROR(VLOOKUP(A7,'[1]Budget Overview'!$A:$B,2,FALSE)),0,VLOOKUP(A7,'[1]Budget Overview'!$A:$B,2,FALSE))</f>
        <v>80000</v>
      </c>
      <c r="C7" s="5">
        <f>80434.51</f>
        <v>80434.509999999995</v>
      </c>
      <c r="D7" s="16">
        <f>C7-B7</f>
        <v>434.50999999999476</v>
      </c>
    </row>
    <row r="8" spans="1:4" x14ac:dyDescent="0.2">
      <c r="A8" s="3" t="s">
        <v>2</v>
      </c>
      <c r="B8" s="5">
        <f>IF(ISERROR(VLOOKUP(A8,'[1]Budget Overview'!$A:$B,2,FALSE)),0,VLOOKUP(A8,'[1]Budget Overview'!$A:$B,2,FALSE))</f>
        <v>5000</v>
      </c>
      <c r="C8" s="5">
        <f>5950</f>
        <v>5950</v>
      </c>
      <c r="D8" s="16">
        <f t="shared" ref="D8:D71" si="0">C8-B8</f>
        <v>950</v>
      </c>
    </row>
    <row r="9" spans="1:4" x14ac:dyDescent="0.2">
      <c r="A9" s="3" t="s">
        <v>3</v>
      </c>
      <c r="B9" s="5">
        <f>IF(ISERROR(VLOOKUP(A9,'[1]Budget Overview'!$A:$B,2,FALSE)),0,VLOOKUP(A9,'[1]Budget Overview'!$A:$B,2,FALSE))</f>
        <v>11500</v>
      </c>
      <c r="C9" s="5">
        <f>26064.69</f>
        <v>26064.69</v>
      </c>
      <c r="D9" s="16">
        <f t="shared" si="0"/>
        <v>14564.689999999999</v>
      </c>
    </row>
    <row r="10" spans="1:4" x14ac:dyDescent="0.2">
      <c r="A10" s="3" t="s">
        <v>4</v>
      </c>
      <c r="B10" s="5">
        <f>IF(ISERROR(VLOOKUP(A10,'[1]Budget Overview'!$A:$B,2,FALSE)),0,VLOOKUP(A10,'[1]Budget Overview'!$A:$B,2,FALSE))</f>
        <v>6500</v>
      </c>
      <c r="C10" s="5">
        <f>0</f>
        <v>0</v>
      </c>
      <c r="D10" s="16">
        <f t="shared" si="0"/>
        <v>-6500</v>
      </c>
    </row>
    <row r="11" spans="1:4" x14ac:dyDescent="0.2">
      <c r="A11" s="3" t="s">
        <v>5</v>
      </c>
      <c r="B11" s="6">
        <f>(((B7)+(B8))+(B9))+(B10)</f>
        <v>103000</v>
      </c>
      <c r="C11" s="6">
        <f>(((C7)+(C8))+(C9))+(C10)</f>
        <v>112449.2</v>
      </c>
      <c r="D11" s="17">
        <f t="shared" si="0"/>
        <v>9449.1999999999971</v>
      </c>
    </row>
    <row r="12" spans="1:4" x14ac:dyDescent="0.2">
      <c r="A12" s="3" t="s">
        <v>6</v>
      </c>
      <c r="B12" s="5">
        <f>IF(ISERROR(VLOOKUP(A12,'[1]Budget Overview'!$A:$B,2,FALSE)),0,VLOOKUP(A12,'[1]Budget Overview'!$A:$B,2,FALSE))</f>
        <v>126000</v>
      </c>
      <c r="C12" s="5">
        <f>126298</f>
        <v>126298</v>
      </c>
      <c r="D12" s="16">
        <f t="shared" si="0"/>
        <v>298</v>
      </c>
    </row>
    <row r="13" spans="1:4" x14ac:dyDescent="0.2">
      <c r="A13" s="3" t="s">
        <v>7</v>
      </c>
      <c r="B13" s="5">
        <f>IF(ISERROR(VLOOKUP(A13,'[1]Budget Overview'!$A:$B,2,FALSE)),0,VLOOKUP(A13,'[1]Budget Overview'!$A:$B,2,FALSE))</f>
        <v>6000</v>
      </c>
      <c r="C13" s="5">
        <f>5735</f>
        <v>5735</v>
      </c>
      <c r="D13" s="16">
        <f t="shared" si="0"/>
        <v>-265</v>
      </c>
    </row>
    <row r="14" spans="1:4" x14ac:dyDescent="0.2">
      <c r="A14" s="3" t="s">
        <v>8</v>
      </c>
      <c r="B14" s="6">
        <f>(B12)+(B13)</f>
        <v>132000</v>
      </c>
      <c r="C14" s="6">
        <f>(C12)+(C13)</f>
        <v>132033</v>
      </c>
      <c r="D14" s="17">
        <f t="shared" si="0"/>
        <v>33</v>
      </c>
    </row>
    <row r="15" spans="1:4" x14ac:dyDescent="0.2">
      <c r="A15" s="3" t="s">
        <v>9</v>
      </c>
      <c r="B15" s="5">
        <f>IF(ISERROR(VLOOKUP(A15,'[1]Budget Overview'!$A:$B,2,FALSE)),0,VLOOKUP(A15,'[1]Budget Overview'!$A:$B,2,FALSE))</f>
        <v>32950</v>
      </c>
      <c r="C15" s="5">
        <f>41026.6</f>
        <v>41026.6</v>
      </c>
      <c r="D15" s="16">
        <f t="shared" si="0"/>
        <v>8076.5999999999985</v>
      </c>
    </row>
    <row r="16" spans="1:4" x14ac:dyDescent="0.2">
      <c r="A16" s="3" t="s">
        <v>10</v>
      </c>
      <c r="B16" s="5">
        <f>IF(ISERROR(VLOOKUP(A16,'[1]Budget Overview'!$A:$B,2,FALSE)),0,VLOOKUP(A16,'[1]Budget Overview'!$A:$B,2,FALSE))</f>
        <v>4700</v>
      </c>
      <c r="C16" s="5">
        <f>4700</f>
        <v>4700</v>
      </c>
      <c r="D16" s="16">
        <f t="shared" si="0"/>
        <v>0</v>
      </c>
    </row>
    <row r="17" spans="1:4" x14ac:dyDescent="0.2">
      <c r="A17" s="3" t="s">
        <v>11</v>
      </c>
      <c r="B17" s="5">
        <f>IF(ISERROR(VLOOKUP(A17,'[1]Budget Overview'!$A:$B,2,FALSE)),0,VLOOKUP(A17,'[1]Budget Overview'!$A:$B,2,FALSE))</f>
        <v>25000</v>
      </c>
      <c r="C17" s="5">
        <f>38853.45</f>
        <v>38853.449999999997</v>
      </c>
      <c r="D17" s="16">
        <f t="shared" si="0"/>
        <v>13853.449999999997</v>
      </c>
    </row>
    <row r="18" spans="1:4" x14ac:dyDescent="0.2">
      <c r="A18" s="3" t="s">
        <v>12</v>
      </c>
      <c r="B18" s="5">
        <f>IF(ISERROR(VLOOKUP(A18,'[1]Budget Overview'!$A:$B,2,FALSE)),0,VLOOKUP(A18,'[1]Budget Overview'!$A:$B,2,FALSE))</f>
        <v>2700</v>
      </c>
      <c r="C18" s="5">
        <f>4576.59</f>
        <v>4576.59</v>
      </c>
      <c r="D18" s="16">
        <f t="shared" si="0"/>
        <v>1876.5900000000001</v>
      </c>
    </row>
    <row r="19" spans="1:4" x14ac:dyDescent="0.2">
      <c r="A19" s="3" t="s">
        <v>13</v>
      </c>
      <c r="B19" s="6">
        <f>(((B15)+(B16))+(B17))+(B18)</f>
        <v>65350</v>
      </c>
      <c r="C19" s="6">
        <f>(((C15)+(C16))+(C17))+(C18)</f>
        <v>89156.639999999985</v>
      </c>
      <c r="D19" s="17">
        <f t="shared" si="0"/>
        <v>23806.639999999985</v>
      </c>
    </row>
    <row r="20" spans="1:4" x14ac:dyDescent="0.2">
      <c r="A20" s="3" t="s">
        <v>14</v>
      </c>
      <c r="B20" s="5">
        <f>IF(ISERROR(VLOOKUP(A20,'[1]Budget Overview'!$A:$B,2,FALSE)),0,VLOOKUP(A20,'[1]Budget Overview'!$A:$B,2,FALSE))</f>
        <v>170000</v>
      </c>
      <c r="C20" s="5">
        <f>230645.09</f>
        <v>230645.09</v>
      </c>
      <c r="D20" s="16">
        <f t="shared" si="0"/>
        <v>60645.09</v>
      </c>
    </row>
    <row r="21" spans="1:4" x14ac:dyDescent="0.2">
      <c r="A21" s="3" t="s">
        <v>15</v>
      </c>
      <c r="B21" s="5">
        <f>IF(ISERROR(VLOOKUP(A21,'[1]Budget Overview'!$A:$B,2,FALSE)),0,VLOOKUP(A21,'[1]Budget Overview'!$A:$B,2,FALSE))</f>
        <v>328000</v>
      </c>
      <c r="C21" s="5">
        <f>365942.6</f>
        <v>365942.6</v>
      </c>
      <c r="D21" s="16">
        <f t="shared" si="0"/>
        <v>37942.599999999977</v>
      </c>
    </row>
    <row r="22" spans="1:4" x14ac:dyDescent="0.2">
      <c r="A22" s="3" t="s">
        <v>16</v>
      </c>
      <c r="B22" s="4">
        <f>IF(ISERROR(VLOOKUP(A22,'[1]Budget Overview'!$A:$B,2,FALSE)),0,VLOOKUP(A22,'[1]Budget Overview'!$A:$B,2,FALSE))</f>
        <v>0</v>
      </c>
      <c r="C22" s="4"/>
      <c r="D22" s="15">
        <f t="shared" si="0"/>
        <v>0</v>
      </c>
    </row>
    <row r="23" spans="1:4" x14ac:dyDescent="0.2">
      <c r="A23" s="3" t="s">
        <v>17</v>
      </c>
      <c r="B23" s="5">
        <f>IF(ISERROR(VLOOKUP(A23,'[1]Budget Overview'!$A:$B,2,FALSE)),0,VLOOKUP(A23,'[1]Budget Overview'!$A:$B,2,FALSE))</f>
        <v>2050</v>
      </c>
      <c r="C23" s="5">
        <f>8235</f>
        <v>8235</v>
      </c>
      <c r="D23" s="16">
        <f t="shared" si="0"/>
        <v>6185</v>
      </c>
    </row>
    <row r="24" spans="1:4" x14ac:dyDescent="0.2">
      <c r="A24" s="3" t="s">
        <v>18</v>
      </c>
      <c r="B24" s="6">
        <f>(B22)+(B23)</f>
        <v>2050</v>
      </c>
      <c r="C24" s="6">
        <f>(C22)+(C23)</f>
        <v>8235</v>
      </c>
      <c r="D24" s="17">
        <f t="shared" si="0"/>
        <v>6185</v>
      </c>
    </row>
    <row r="25" spans="1:4" x14ac:dyDescent="0.2">
      <c r="A25" s="3" t="s">
        <v>19</v>
      </c>
      <c r="B25" s="5">
        <f>IF(ISERROR(VLOOKUP(A25,'[1]Budget Overview'!$A:$B,2,FALSE)),0,VLOOKUP(A25,'[1]Budget Overview'!$A:$B,2,FALSE))</f>
        <v>11000</v>
      </c>
      <c r="C25" s="5">
        <f>11969.5</f>
        <v>11969.5</v>
      </c>
      <c r="D25" s="16">
        <f t="shared" si="0"/>
        <v>969.5</v>
      </c>
    </row>
    <row r="26" spans="1:4" x14ac:dyDescent="0.2">
      <c r="A26" s="3" t="s">
        <v>20</v>
      </c>
      <c r="B26" s="5">
        <f>IF(ISERROR(VLOOKUP(A26,'[1]Budget Overview'!$A:$B,2,FALSE)),0,VLOOKUP(A26,'[1]Budget Overview'!$A:$B,2,FALSE))</f>
        <v>60000</v>
      </c>
      <c r="C26" s="5">
        <f>31194.62</f>
        <v>31194.62</v>
      </c>
      <c r="D26" s="16">
        <f t="shared" si="0"/>
        <v>-28805.38</v>
      </c>
    </row>
    <row r="27" spans="1:4" x14ac:dyDescent="0.2">
      <c r="A27" s="3" t="s">
        <v>21</v>
      </c>
      <c r="B27" s="5">
        <f>IF(ISERROR(VLOOKUP(A27,'[1]Budget Overview'!$A:$B,2,FALSE)),0,VLOOKUP(A27,'[1]Budget Overview'!$A:$B,2,FALSE))</f>
        <v>0</v>
      </c>
      <c r="C27" s="5">
        <f>158</f>
        <v>158</v>
      </c>
      <c r="D27" s="16">
        <f t="shared" si="0"/>
        <v>158</v>
      </c>
    </row>
    <row r="28" spans="1:4" x14ac:dyDescent="0.2">
      <c r="A28" s="3" t="s">
        <v>22</v>
      </c>
      <c r="B28" s="6">
        <f>((B25)+(B26))+(B27)</f>
        <v>71000</v>
      </c>
      <c r="C28" s="6">
        <f>((C25)+(C26))+(C27)</f>
        <v>43322.119999999995</v>
      </c>
      <c r="D28" s="17">
        <f t="shared" si="0"/>
        <v>-27677.880000000005</v>
      </c>
    </row>
    <row r="29" spans="1:4" x14ac:dyDescent="0.2">
      <c r="A29" s="3" t="s">
        <v>23</v>
      </c>
      <c r="B29" s="5">
        <f>IF(ISERROR(VLOOKUP(A29,'[1]Budget Overview'!$A:$B,2,FALSE)),0,VLOOKUP(A29,'[1]Budget Overview'!$A:$B,2,FALSE))</f>
        <v>7500</v>
      </c>
      <c r="C29" s="5">
        <f>14794</f>
        <v>14794</v>
      </c>
      <c r="D29" s="16">
        <f t="shared" si="0"/>
        <v>7294</v>
      </c>
    </row>
    <row r="30" spans="1:4" x14ac:dyDescent="0.2">
      <c r="A30" s="3" t="s">
        <v>24</v>
      </c>
      <c r="B30" s="5">
        <f>IF(ISERROR(VLOOKUP(A30,'[1]Budget Overview'!$A:$B,2,FALSE)),0,VLOOKUP(A30,'[1]Budget Overview'!$A:$B,2,FALSE))</f>
        <v>46000</v>
      </c>
      <c r="C30" s="5">
        <f>57065.28</f>
        <v>57065.279999999999</v>
      </c>
      <c r="D30" s="16">
        <f t="shared" si="0"/>
        <v>11065.279999999999</v>
      </c>
    </row>
    <row r="31" spans="1:4" x14ac:dyDescent="0.2">
      <c r="A31" s="3" t="s">
        <v>25</v>
      </c>
      <c r="B31" s="5">
        <f>IF(ISERROR(VLOOKUP(A31,'[1]Budget Overview'!$A:$B,2,FALSE)),0,VLOOKUP(A31,'[1]Budget Overview'!$A:$B,2,FALSE))</f>
        <v>6000</v>
      </c>
      <c r="C31" s="5">
        <f>6293.54</f>
        <v>6293.54</v>
      </c>
      <c r="D31" s="16">
        <f t="shared" si="0"/>
        <v>293.53999999999996</v>
      </c>
    </row>
    <row r="32" spans="1:4" x14ac:dyDescent="0.2">
      <c r="A32" s="3" t="s">
        <v>26</v>
      </c>
      <c r="B32" s="6">
        <f>(B30)+(B31)</f>
        <v>52000</v>
      </c>
      <c r="C32" s="6">
        <f>(C30)+(C31)</f>
        <v>63358.82</v>
      </c>
      <c r="D32" s="17">
        <f t="shared" si="0"/>
        <v>11358.82</v>
      </c>
    </row>
    <row r="33" spans="1:4" x14ac:dyDescent="0.2">
      <c r="A33" s="3" t="s">
        <v>27</v>
      </c>
      <c r="B33" s="5">
        <f>IF(ISERROR(VLOOKUP(A33,'[1]Budget Overview'!$A:$B,2,FALSE)),0,VLOOKUP(A33,'[1]Budget Overview'!$A:$B,2,FALSE))</f>
        <v>0</v>
      </c>
      <c r="C33" s="5">
        <f>0</f>
        <v>0</v>
      </c>
      <c r="D33" s="16">
        <f t="shared" si="0"/>
        <v>0</v>
      </c>
    </row>
    <row r="34" spans="1:4" x14ac:dyDescent="0.2">
      <c r="A34" s="3" t="s">
        <v>28</v>
      </c>
      <c r="B34" s="6">
        <f>(((((((((B11)+(B14))+(B19))+(B20))+(B21))+(B24))+(B28))+(B29))+(B32))+(B33)</f>
        <v>930900</v>
      </c>
      <c r="C34" s="6">
        <f>(((((((((C11)+(C14))+(C19))+(C20))+(C21))+(C24))+(C28))+(C29))+(C32))+(C33)</f>
        <v>1059936.47</v>
      </c>
      <c r="D34" s="17">
        <f t="shared" si="0"/>
        <v>129036.46999999997</v>
      </c>
    </row>
    <row r="35" spans="1:4" x14ac:dyDescent="0.2">
      <c r="A35" s="3" t="s">
        <v>29</v>
      </c>
      <c r="B35" s="4">
        <f>IF(ISERROR(VLOOKUP(A35,'[1]Budget Overview'!$A:$B,2,FALSE)),0,VLOOKUP(A35,'[1]Budget Overview'!$A:$B,2,FALSE))</f>
        <v>0</v>
      </c>
      <c r="C35" s="4"/>
      <c r="D35" s="15">
        <f t="shared" si="0"/>
        <v>0</v>
      </c>
    </row>
    <row r="36" spans="1:4" x14ac:dyDescent="0.2">
      <c r="A36" s="3" t="s">
        <v>30</v>
      </c>
      <c r="B36" s="5">
        <f>IF(ISERROR(VLOOKUP(A36,'[1]Budget Overview'!$A:$B,2,FALSE)),0,VLOOKUP(A36,'[1]Budget Overview'!$A:$B,2,FALSE))</f>
        <v>29000</v>
      </c>
      <c r="C36" s="5">
        <f>30526.8</f>
        <v>30526.799999999999</v>
      </c>
      <c r="D36" s="16">
        <f t="shared" si="0"/>
        <v>1526.7999999999993</v>
      </c>
    </row>
    <row r="37" spans="1:4" x14ac:dyDescent="0.2">
      <c r="A37" s="3" t="s">
        <v>31</v>
      </c>
      <c r="B37" s="6">
        <f>B36</f>
        <v>29000</v>
      </c>
      <c r="C37" s="6">
        <f>C36</f>
        <v>30526.799999999999</v>
      </c>
      <c r="D37" s="17">
        <f t="shared" si="0"/>
        <v>1526.7999999999993</v>
      </c>
    </row>
    <row r="38" spans="1:4" x14ac:dyDescent="0.2">
      <c r="A38" s="3" t="s">
        <v>32</v>
      </c>
      <c r="B38" s="6">
        <f>(B34)-(B37)</f>
        <v>901900</v>
      </c>
      <c r="C38" s="6">
        <f>(C34)-(C37)</f>
        <v>1029409.6699999999</v>
      </c>
      <c r="D38" s="17">
        <f t="shared" si="0"/>
        <v>127509.66999999993</v>
      </c>
    </row>
    <row r="39" spans="1:4" x14ac:dyDescent="0.2">
      <c r="A39" s="3" t="s">
        <v>33</v>
      </c>
      <c r="B39" s="4">
        <f>IF(ISERROR(VLOOKUP(A39,'[1]Budget Overview'!$A:$B,2,FALSE)),0,VLOOKUP(A39,'[1]Budget Overview'!$A:$B,2,FALSE))</f>
        <v>0</v>
      </c>
      <c r="C39" s="4"/>
      <c r="D39" s="15">
        <f t="shared" si="0"/>
        <v>0</v>
      </c>
    </row>
    <row r="40" spans="1:4" x14ac:dyDescent="0.2">
      <c r="A40" s="3" t="s">
        <v>34</v>
      </c>
      <c r="B40" s="5">
        <f>IF(ISERROR(VLOOKUP(A40,'[1]Budget Overview'!$A:$B,2,FALSE)),0,VLOOKUP(A40,'[1]Budget Overview'!$A:$B,2,FALSE))</f>
        <v>0</v>
      </c>
      <c r="C40" s="5">
        <f>158</f>
        <v>158</v>
      </c>
      <c r="D40" s="16">
        <f t="shared" si="0"/>
        <v>158</v>
      </c>
    </row>
    <row r="41" spans="1:4" x14ac:dyDescent="0.2">
      <c r="A41" s="3" t="s">
        <v>35</v>
      </c>
      <c r="B41" s="4">
        <f>IF(ISERROR(VLOOKUP(A41,'[1]Budget Overview'!$A:$B,2,FALSE)),0,VLOOKUP(A41,'[1]Budget Overview'!$A:$B,2,FALSE))</f>
        <v>0</v>
      </c>
      <c r="C41" s="4"/>
      <c r="D41" s="15">
        <f t="shared" si="0"/>
        <v>0</v>
      </c>
    </row>
    <row r="42" spans="1:4" x14ac:dyDescent="0.2">
      <c r="A42" s="3" t="s">
        <v>36</v>
      </c>
      <c r="B42" s="5">
        <f>IF(ISERROR(VLOOKUP(A42,'[1]Budget Overview'!$A:$B,2,FALSE)),0,VLOOKUP(A42,'[1]Budget Overview'!$A:$B,2,FALSE))</f>
        <v>340000</v>
      </c>
      <c r="C42" s="5">
        <f>342883.1</f>
        <v>342883.1</v>
      </c>
      <c r="D42" s="16">
        <f t="shared" si="0"/>
        <v>2883.0999999999767</v>
      </c>
    </row>
    <row r="43" spans="1:4" x14ac:dyDescent="0.2">
      <c r="A43" s="3" t="s">
        <v>37</v>
      </c>
      <c r="B43" s="5">
        <f>IF(ISERROR(VLOOKUP(A43,'[1]Budget Overview'!$A:$B,2,FALSE)),0,VLOOKUP(A43,'[1]Budget Overview'!$A:$B,2,FALSE))</f>
        <v>19000</v>
      </c>
      <c r="C43" s="5">
        <f>12998.69</f>
        <v>12998.69</v>
      </c>
      <c r="D43" s="16">
        <f t="shared" si="0"/>
        <v>-6001.3099999999995</v>
      </c>
    </row>
    <row r="44" spans="1:4" x14ac:dyDescent="0.2">
      <c r="A44" s="3" t="s">
        <v>38</v>
      </c>
      <c r="B44" s="5">
        <f>IF(ISERROR(VLOOKUP(A44,'[1]Budget Overview'!$A:$B,2,FALSE)),0,VLOOKUP(A44,'[1]Budget Overview'!$A:$B,2,FALSE))</f>
        <v>27000</v>
      </c>
      <c r="C44" s="5">
        <f>24933.31</f>
        <v>24933.31</v>
      </c>
      <c r="D44" s="16">
        <f t="shared" si="0"/>
        <v>-2066.6899999999987</v>
      </c>
    </row>
    <row r="45" spans="1:4" x14ac:dyDescent="0.2">
      <c r="A45" s="3" t="s">
        <v>39</v>
      </c>
      <c r="B45" s="5">
        <f>IF(ISERROR(VLOOKUP(A45,'[1]Budget Overview'!$A:$B,2,FALSE)),0,VLOOKUP(A45,'[1]Budget Overview'!$A:$B,2,FALSE))</f>
        <v>0</v>
      </c>
      <c r="C45" s="5">
        <f>5784.12</f>
        <v>5784.12</v>
      </c>
      <c r="D45" s="16">
        <f t="shared" si="0"/>
        <v>5784.12</v>
      </c>
    </row>
    <row r="46" spans="1:4" x14ac:dyDescent="0.2">
      <c r="A46" s="3" t="s">
        <v>40</v>
      </c>
      <c r="B46" s="5">
        <f>IF(ISERROR(VLOOKUP(A46,'[1]Budget Overview'!$A:$B,2,FALSE)),0,VLOOKUP(A46,'[1]Budget Overview'!$A:$B,2,FALSE))</f>
        <v>0</v>
      </c>
      <c r="C46" s="5">
        <f>300</f>
        <v>300</v>
      </c>
      <c r="D46" s="16">
        <f t="shared" si="0"/>
        <v>300</v>
      </c>
    </row>
    <row r="47" spans="1:4" x14ac:dyDescent="0.2">
      <c r="A47" s="3" t="s">
        <v>41</v>
      </c>
      <c r="B47" s="6">
        <f>(((((B41)+(B42))+(B43))+(B44))+(B45))+(B46)</f>
        <v>386000</v>
      </c>
      <c r="C47" s="6">
        <f>(((((C41)+(C42))+(C43))+(C44))+(C45))+(C46)</f>
        <v>386899.22</v>
      </c>
      <c r="D47" s="17">
        <f t="shared" si="0"/>
        <v>899.21999999997206</v>
      </c>
    </row>
    <row r="48" spans="1:4" x14ac:dyDescent="0.2">
      <c r="A48" s="3" t="s">
        <v>42</v>
      </c>
      <c r="B48" s="5">
        <f>IF(ISERROR(VLOOKUP(A48,'[1]Budget Overview'!$A:$B,2,FALSE)),0,VLOOKUP(A48,'[1]Budget Overview'!$A:$B,2,FALSE))</f>
        <v>14850</v>
      </c>
      <c r="C48" s="5">
        <f>13611.06</f>
        <v>13611.06</v>
      </c>
      <c r="D48" s="16">
        <f t="shared" si="0"/>
        <v>-1238.9400000000005</v>
      </c>
    </row>
    <row r="49" spans="1:4" x14ac:dyDescent="0.2">
      <c r="A49" s="3" t="s">
        <v>43</v>
      </c>
      <c r="B49" s="5">
        <f>IF(ISERROR(VLOOKUP(A49,'[1]Budget Overview'!$A:$B,2,FALSE)),0,VLOOKUP(A49,'[1]Budget Overview'!$A:$B,2,FALSE))</f>
        <v>6500</v>
      </c>
      <c r="C49" s="5">
        <f>5922.06</f>
        <v>5922.06</v>
      </c>
      <c r="D49" s="16">
        <f t="shared" si="0"/>
        <v>-577.9399999999996</v>
      </c>
    </row>
    <row r="50" spans="1:4" x14ac:dyDescent="0.2">
      <c r="A50" s="3" t="s">
        <v>44</v>
      </c>
      <c r="B50" s="5">
        <f>IF(ISERROR(VLOOKUP(A50,'[1]Budget Overview'!$A:$B,2,FALSE)),0,VLOOKUP(A50,'[1]Budget Overview'!$A:$B,2,FALSE))</f>
        <v>2000</v>
      </c>
      <c r="C50" s="5">
        <f>2200.34</f>
        <v>2200.34</v>
      </c>
      <c r="D50" s="16">
        <f t="shared" si="0"/>
        <v>200.34000000000015</v>
      </c>
    </row>
    <row r="51" spans="1:4" x14ac:dyDescent="0.2">
      <c r="A51" s="3" t="s">
        <v>45</v>
      </c>
      <c r="B51" s="5">
        <f>IF(ISERROR(VLOOKUP(A51,'[1]Budget Overview'!$A:$B,2,FALSE)),0,VLOOKUP(A51,'[1]Budget Overview'!$A:$B,2,FALSE))</f>
        <v>24000</v>
      </c>
      <c r="C51" s="5">
        <f>19244.84</f>
        <v>19244.84</v>
      </c>
      <c r="D51" s="16">
        <f t="shared" si="0"/>
        <v>-4755.16</v>
      </c>
    </row>
    <row r="52" spans="1:4" x14ac:dyDescent="0.2">
      <c r="A52" s="3" t="s">
        <v>46</v>
      </c>
      <c r="B52" s="5">
        <f>IF(ISERROR(VLOOKUP(A52,'[1]Budget Overview'!$A:$B,2,FALSE)),0,VLOOKUP(A52,'[1]Budget Overview'!$A:$B,2,FALSE))</f>
        <v>19500</v>
      </c>
      <c r="C52" s="5">
        <f>14577.16</f>
        <v>14577.16</v>
      </c>
      <c r="D52" s="16">
        <f t="shared" si="0"/>
        <v>-4922.84</v>
      </c>
    </row>
    <row r="53" spans="1:4" x14ac:dyDescent="0.2">
      <c r="A53" s="3" t="s">
        <v>47</v>
      </c>
      <c r="B53" s="5">
        <f>IF(ISERROR(VLOOKUP(A53,'[1]Budget Overview'!$A:$B,2,FALSE)),0,VLOOKUP(A53,'[1]Budget Overview'!$A:$B,2,FALSE))</f>
        <v>15800</v>
      </c>
      <c r="C53" s="5">
        <f>15034.76</f>
        <v>15034.76</v>
      </c>
      <c r="D53" s="16">
        <f t="shared" si="0"/>
        <v>-765.23999999999978</v>
      </c>
    </row>
    <row r="54" spans="1:4" x14ac:dyDescent="0.2">
      <c r="A54" s="3" t="s">
        <v>48</v>
      </c>
      <c r="B54" s="5">
        <f>IF(ISERROR(VLOOKUP(A54,'[1]Budget Overview'!$A:$B,2,FALSE)),0,VLOOKUP(A54,'[1]Budget Overview'!$A:$B,2,FALSE))</f>
        <v>0</v>
      </c>
      <c r="C54" s="5">
        <f>24.3</f>
        <v>24.3</v>
      </c>
      <c r="D54" s="16">
        <f t="shared" si="0"/>
        <v>24.3</v>
      </c>
    </row>
    <row r="55" spans="1:4" x14ac:dyDescent="0.2">
      <c r="A55" s="3" t="s">
        <v>49</v>
      </c>
      <c r="B55" s="5">
        <f>IF(ISERROR(VLOOKUP(A55,'[1]Budget Overview'!$A:$B,2,FALSE)),0,VLOOKUP(A55,'[1]Budget Overview'!$A:$B,2,FALSE))</f>
        <v>8000</v>
      </c>
      <c r="C55" s="5">
        <f>7932.97</f>
        <v>7932.97</v>
      </c>
      <c r="D55" s="16">
        <f t="shared" si="0"/>
        <v>-67.029999999999745</v>
      </c>
    </row>
    <row r="56" spans="1:4" x14ac:dyDescent="0.2">
      <c r="A56" s="3" t="s">
        <v>50</v>
      </c>
      <c r="B56" s="5">
        <f>IF(ISERROR(VLOOKUP(A56,'[1]Budget Overview'!$A:$B,2,FALSE)),0,VLOOKUP(A56,'[1]Budget Overview'!$A:$B,2,FALSE))</f>
        <v>70</v>
      </c>
      <c r="C56" s="5">
        <f>120</f>
        <v>120</v>
      </c>
      <c r="D56" s="16">
        <f t="shared" si="0"/>
        <v>50</v>
      </c>
    </row>
    <row r="57" spans="1:4" x14ac:dyDescent="0.2">
      <c r="A57" s="3" t="s">
        <v>51</v>
      </c>
      <c r="B57" s="6">
        <f>((B54)+(B55))+(B56)</f>
        <v>8070</v>
      </c>
      <c r="C57" s="6">
        <f>((C54)+(C55))+(C56)</f>
        <v>8077.27</v>
      </c>
      <c r="D57" s="17">
        <f t="shared" si="0"/>
        <v>7.2700000000004366</v>
      </c>
    </row>
    <row r="58" spans="1:4" x14ac:dyDescent="0.2">
      <c r="A58" s="3" t="s">
        <v>52</v>
      </c>
      <c r="B58" s="5">
        <f>IF(ISERROR(VLOOKUP(A58,'[1]Budget Overview'!$A:$B,2,FALSE)),0,VLOOKUP(A58,'[1]Budget Overview'!$A:$B,2,FALSE))</f>
        <v>1000</v>
      </c>
      <c r="C58" s="5">
        <f>-51.57</f>
        <v>-51.57</v>
      </c>
      <c r="D58" s="16">
        <f t="shared" si="0"/>
        <v>-1051.57</v>
      </c>
    </row>
    <row r="59" spans="1:4" x14ac:dyDescent="0.2">
      <c r="A59" s="3" t="s">
        <v>53</v>
      </c>
      <c r="B59" s="5">
        <f>IF(ISERROR(VLOOKUP(A59,'[1]Budget Overview'!$A:$B,2,FALSE)),0,VLOOKUP(A59,'[1]Budget Overview'!$A:$B,2,FALSE))</f>
        <v>7500</v>
      </c>
      <c r="C59" s="5">
        <f>6545.74</f>
        <v>6545.74</v>
      </c>
      <c r="D59" s="16">
        <f t="shared" si="0"/>
        <v>-954.26000000000022</v>
      </c>
    </row>
    <row r="60" spans="1:4" x14ac:dyDescent="0.2">
      <c r="A60" s="3" t="s">
        <v>99</v>
      </c>
      <c r="B60" s="5">
        <f>250</f>
        <v>250</v>
      </c>
      <c r="D60" s="19">
        <f t="shared" si="0"/>
        <v>-250</v>
      </c>
    </row>
    <row r="61" spans="1:4" x14ac:dyDescent="0.2">
      <c r="A61" s="3" t="s">
        <v>54</v>
      </c>
      <c r="B61" s="5">
        <f>IF(ISERROR(VLOOKUP(A61,'[1]Budget Overview'!$A:$B,2,FALSE)),0,VLOOKUP(A61,'[1]Budget Overview'!$A:$B,2,FALSE))</f>
        <v>0</v>
      </c>
      <c r="C61" s="5">
        <f>8237.5</f>
        <v>8237.5</v>
      </c>
      <c r="D61" s="16">
        <f t="shared" si="0"/>
        <v>8237.5</v>
      </c>
    </row>
    <row r="62" spans="1:4" x14ac:dyDescent="0.2">
      <c r="A62" s="3" t="s">
        <v>55</v>
      </c>
      <c r="B62" s="6">
        <f>(B59)+B60+(B61)</f>
        <v>7750</v>
      </c>
      <c r="C62" s="6">
        <f>(C59)+C60+(C61)</f>
        <v>14783.24</v>
      </c>
      <c r="D62" s="17">
        <f t="shared" si="0"/>
        <v>7033.24</v>
      </c>
    </row>
    <row r="63" spans="1:4" x14ac:dyDescent="0.2">
      <c r="A63" s="3" t="s">
        <v>56</v>
      </c>
      <c r="B63" s="5">
        <f>IF(ISERROR(VLOOKUP(A63,'[1]Budget Overview'!$A:$B,2,FALSE)),0,VLOOKUP(A63,'[1]Budget Overview'!$A:$B,2,FALSE))</f>
        <v>1200</v>
      </c>
      <c r="C63" s="5">
        <f>1480.41</f>
        <v>1480.41</v>
      </c>
      <c r="D63" s="16">
        <f t="shared" si="0"/>
        <v>280.41000000000008</v>
      </c>
    </row>
    <row r="64" spans="1:4" x14ac:dyDescent="0.2">
      <c r="A64" s="3" t="s">
        <v>57</v>
      </c>
      <c r="B64" s="5">
        <f>IF(ISERROR(VLOOKUP(A64,'[1]Budget Overview'!$A:$B,2,FALSE)),0,VLOOKUP(A64,'[1]Budget Overview'!$A:$B,2,FALSE))</f>
        <v>0</v>
      </c>
      <c r="C64" s="5">
        <f>1579.74</f>
        <v>1579.74</v>
      </c>
      <c r="D64" s="16">
        <f t="shared" si="0"/>
        <v>1579.74</v>
      </c>
    </row>
    <row r="65" spans="1:4" x14ac:dyDescent="0.2">
      <c r="A65" s="3" t="s">
        <v>58</v>
      </c>
      <c r="B65" s="5">
        <f>IF(ISERROR(VLOOKUP(A65,'[1]Budget Overview'!$A:$B,2,FALSE)),0,VLOOKUP(A65,'[1]Budget Overview'!$A:$B,2,FALSE))</f>
        <v>11500</v>
      </c>
      <c r="C65" s="5">
        <f>13682.08</f>
        <v>13682.08</v>
      </c>
      <c r="D65" s="16">
        <f t="shared" si="0"/>
        <v>2182.08</v>
      </c>
    </row>
    <row r="66" spans="1:4" x14ac:dyDescent="0.2">
      <c r="A66" s="3" t="s">
        <v>59</v>
      </c>
      <c r="B66" s="5">
        <f>IF(ISERROR(VLOOKUP(A66,'[1]Budget Overview'!$A:$B,2,FALSE)),0,VLOOKUP(A66,'[1]Budget Overview'!$A:$B,2,FALSE))</f>
        <v>7500</v>
      </c>
      <c r="C66" s="5">
        <f>6270.27</f>
        <v>6270.27</v>
      </c>
      <c r="D66" s="16">
        <f t="shared" si="0"/>
        <v>-1229.7299999999996</v>
      </c>
    </row>
    <row r="67" spans="1:4" x14ac:dyDescent="0.2">
      <c r="A67" s="3" t="s">
        <v>60</v>
      </c>
      <c r="B67" s="6">
        <f>(((B63)+(B64))+(B65))+(B66)</f>
        <v>20200</v>
      </c>
      <c r="C67" s="6">
        <f>(((C63)+(C64))+(C65))+(C66)</f>
        <v>23012.5</v>
      </c>
      <c r="D67" s="17">
        <f t="shared" si="0"/>
        <v>2812.5</v>
      </c>
    </row>
    <row r="68" spans="1:4" x14ac:dyDescent="0.2">
      <c r="A68" s="3" t="s">
        <v>61</v>
      </c>
      <c r="B68" s="5">
        <f>IF(ISERROR(VLOOKUP(A68,'[1]Budget Overview'!$A:$B,2,FALSE)),0,VLOOKUP(A68,'[1]Budget Overview'!$A:$B,2,FALSE))</f>
        <v>21400</v>
      </c>
      <c r="C68" s="5">
        <f>21391.34</f>
        <v>21391.34</v>
      </c>
      <c r="D68" s="16">
        <f t="shared" si="0"/>
        <v>-8.6599999999998545</v>
      </c>
    </row>
    <row r="69" spans="1:4" x14ac:dyDescent="0.2">
      <c r="A69" s="3" t="s">
        <v>62</v>
      </c>
      <c r="B69" s="5">
        <f>IF(ISERROR(VLOOKUP(A69,'[1]Budget Overview'!$A:$B,2,FALSE)),0,VLOOKUP(A69,'[1]Budget Overview'!$A:$B,2,FALSE))</f>
        <v>8000</v>
      </c>
      <c r="C69" s="5">
        <f>3174.62</f>
        <v>3174.62</v>
      </c>
      <c r="D69" s="16">
        <f t="shared" si="0"/>
        <v>-4825.38</v>
      </c>
    </row>
    <row r="70" spans="1:4" x14ac:dyDescent="0.2">
      <c r="A70" s="3" t="s">
        <v>63</v>
      </c>
      <c r="B70" s="5">
        <f>IF(ISERROR(VLOOKUP(A70,'[1]Budget Overview'!$A:$B,2,FALSE)),0,VLOOKUP(A70,'[1]Budget Overview'!$A:$B,2,FALSE))</f>
        <v>77000</v>
      </c>
      <c r="C70" s="5">
        <f>16631.54</f>
        <v>16631.54</v>
      </c>
      <c r="D70" s="16">
        <f t="shared" si="0"/>
        <v>-60368.46</v>
      </c>
    </row>
    <row r="71" spans="1:4" x14ac:dyDescent="0.2">
      <c r="A71" s="3" t="s">
        <v>100</v>
      </c>
      <c r="B71" s="5">
        <f>2500</f>
        <v>2500</v>
      </c>
      <c r="C71" s="20">
        <v>0</v>
      </c>
      <c r="D71" s="19">
        <f t="shared" si="0"/>
        <v>-2500</v>
      </c>
    </row>
    <row r="72" spans="1:4" x14ac:dyDescent="0.2">
      <c r="A72" s="3" t="s">
        <v>64</v>
      </c>
      <c r="B72" s="5">
        <f>IF(ISERROR(VLOOKUP(A72,'[1]Budget Overview'!$A:$B,2,FALSE)),0,VLOOKUP(A72,'[1]Budget Overview'!$A:$B,2,FALSE))</f>
        <v>0</v>
      </c>
      <c r="C72" s="5">
        <f>1926.05</f>
        <v>1926.05</v>
      </c>
      <c r="D72" s="16">
        <f t="shared" ref="D72:D102" si="1">C72-B72</f>
        <v>1926.05</v>
      </c>
    </row>
    <row r="73" spans="1:4" x14ac:dyDescent="0.2">
      <c r="A73" s="3" t="s">
        <v>65</v>
      </c>
      <c r="B73" s="5">
        <f>IF(ISERROR(VLOOKUP(A73,'[1]Budget Overview'!$A:$B,2,FALSE)),0,VLOOKUP(A73,'[1]Budget Overview'!$A:$B,2,FALSE))</f>
        <v>4000</v>
      </c>
      <c r="C73" s="5">
        <f>1850</f>
        <v>1850</v>
      </c>
      <c r="D73" s="16">
        <f t="shared" si="1"/>
        <v>-2150</v>
      </c>
    </row>
    <row r="74" spans="1:4" x14ac:dyDescent="0.2">
      <c r="A74" s="3" t="s">
        <v>66</v>
      </c>
      <c r="B74" s="5">
        <f>IF(ISERROR(VLOOKUP(A74,'[1]Budget Overview'!$A:$B,2,FALSE)),0,VLOOKUP(A74,'[1]Budget Overview'!$A:$B,2,FALSE))</f>
        <v>10000</v>
      </c>
      <c r="C74" s="5">
        <f>5237.35</f>
        <v>5237.3500000000004</v>
      </c>
      <c r="D74" s="16">
        <f t="shared" si="1"/>
        <v>-4762.6499999999996</v>
      </c>
    </row>
    <row r="75" spans="1:4" x14ac:dyDescent="0.2">
      <c r="A75" s="3" t="s">
        <v>67</v>
      </c>
      <c r="B75" s="5">
        <f>IF(ISERROR(VLOOKUP(A75,'[1]Budget Overview'!$A:$B,2,FALSE)),0,VLOOKUP(A75,'[1]Budget Overview'!$A:$B,2,FALSE))</f>
        <v>6000</v>
      </c>
      <c r="C75" s="5">
        <f>2945.83</f>
        <v>2945.83</v>
      </c>
      <c r="D75" s="16">
        <f t="shared" si="1"/>
        <v>-3054.17</v>
      </c>
    </row>
    <row r="76" spans="1:4" x14ac:dyDescent="0.2">
      <c r="A76" s="3" t="s">
        <v>68</v>
      </c>
      <c r="B76" s="5">
        <f>IF(ISERROR(VLOOKUP(A76,'[1]Budget Overview'!$A:$B,2,FALSE)),0,VLOOKUP(A76,'[1]Budget Overview'!$A:$B,2,FALSE))</f>
        <v>43800</v>
      </c>
      <c r="C76" s="5">
        <f>16980.39</f>
        <v>16980.39</v>
      </c>
      <c r="D76" s="16">
        <f t="shared" si="1"/>
        <v>-26819.61</v>
      </c>
    </row>
    <row r="77" spans="1:4" x14ac:dyDescent="0.2">
      <c r="A77" s="3" t="s">
        <v>69</v>
      </c>
      <c r="B77" s="5">
        <f>IF(ISERROR(VLOOKUP(A77,'[1]Budget Overview'!$A:$B,2,FALSE)),0,VLOOKUP(A77,'[1]Budget Overview'!$A:$B,2,FALSE))</f>
        <v>2250</v>
      </c>
      <c r="C77" s="5">
        <f>2762.7</f>
        <v>2762.7</v>
      </c>
      <c r="D77" s="16">
        <f t="shared" si="1"/>
        <v>512.69999999999982</v>
      </c>
    </row>
    <row r="78" spans="1:4" x14ac:dyDescent="0.2">
      <c r="A78" s="3" t="s">
        <v>70</v>
      </c>
      <c r="B78" s="5">
        <f>IF(ISERROR(VLOOKUP(A78,'[1]Budget Overview'!$A:$B,2,FALSE)),0,VLOOKUP(A78,'[1]Budget Overview'!$A:$B,2,FALSE))</f>
        <v>1500</v>
      </c>
      <c r="C78" s="5">
        <f>867.62</f>
        <v>867.62</v>
      </c>
      <c r="D78" s="16">
        <f t="shared" si="1"/>
        <v>-632.38</v>
      </c>
    </row>
    <row r="79" spans="1:4" x14ac:dyDescent="0.2">
      <c r="A79" s="3" t="s">
        <v>71</v>
      </c>
      <c r="B79" s="6">
        <f>((B76)+(B77))+(B78)</f>
        <v>47550</v>
      </c>
      <c r="C79" s="6">
        <f>((C76)+(C77))+(C78)</f>
        <v>20610.71</v>
      </c>
      <c r="D79" s="17">
        <f t="shared" si="1"/>
        <v>-26939.29</v>
      </c>
    </row>
    <row r="80" spans="1:4" x14ac:dyDescent="0.2">
      <c r="A80" s="3" t="s">
        <v>72</v>
      </c>
      <c r="B80" s="4">
        <f>IF(ISERROR(VLOOKUP(A80,'[1]Budget Overview'!$A:$B,2,FALSE)),0,VLOOKUP(A80,'[1]Budget Overview'!$A:$B,2,FALSE))</f>
        <v>0</v>
      </c>
      <c r="C80" s="4"/>
      <c r="D80" s="15">
        <f t="shared" si="1"/>
        <v>0</v>
      </c>
    </row>
    <row r="81" spans="1:4" x14ac:dyDescent="0.2">
      <c r="A81" s="3" t="s">
        <v>73</v>
      </c>
      <c r="B81" s="5">
        <f>IF(ISERROR(VLOOKUP(A81,'[1]Budget Overview'!$A:$B,2,FALSE)),0,VLOOKUP(A81,'[1]Budget Overview'!$A:$B,2,FALSE))</f>
        <v>200000</v>
      </c>
      <c r="C81" s="5">
        <f>256457.22</f>
        <v>256457.22</v>
      </c>
      <c r="D81" s="16">
        <f t="shared" si="1"/>
        <v>56457.22</v>
      </c>
    </row>
    <row r="82" spans="1:4" x14ac:dyDescent="0.2">
      <c r="A82" s="3" t="s">
        <v>74</v>
      </c>
      <c r="B82" s="5">
        <f>IF(ISERROR(VLOOKUP(A82,'[1]Budget Overview'!$A:$B,2,FALSE)),0,VLOOKUP(A82,'[1]Budget Overview'!$A:$B,2,FALSE))</f>
        <v>11000</v>
      </c>
      <c r="C82" s="5">
        <f>1903.15</f>
        <v>1903.15</v>
      </c>
      <c r="D82" s="16">
        <f t="shared" si="1"/>
        <v>-9096.85</v>
      </c>
    </row>
    <row r="83" spans="1:4" x14ac:dyDescent="0.2">
      <c r="A83" s="3" t="s">
        <v>75</v>
      </c>
      <c r="B83" s="6">
        <f>((B80)+(B81))+(B82)</f>
        <v>211000</v>
      </c>
      <c r="C83" s="6">
        <f>((C80)+(C81))+(C82)</f>
        <v>258360.37</v>
      </c>
      <c r="D83" s="17">
        <f t="shared" si="1"/>
        <v>47360.369999999995</v>
      </c>
    </row>
    <row r="84" spans="1:4" x14ac:dyDescent="0.2">
      <c r="A84" s="3" t="s">
        <v>76</v>
      </c>
      <c r="B84" s="5">
        <f>IF(ISERROR(VLOOKUP(A84,'[1]Budget Overview'!$A:$B,2,FALSE)),0,VLOOKUP(A84,'[1]Budget Overview'!$A:$B,2,FALSE))</f>
        <v>300</v>
      </c>
      <c r="C84" s="5">
        <f>300</f>
        <v>300</v>
      </c>
      <c r="D84" s="16">
        <f t="shared" si="1"/>
        <v>0</v>
      </c>
    </row>
    <row r="85" spans="1:4" x14ac:dyDescent="0.2">
      <c r="A85" s="3" t="s">
        <v>77</v>
      </c>
      <c r="B85" s="5">
        <f>IF(ISERROR(VLOOKUP(A85,'[1]Budget Overview'!$A:$B,2,FALSE)),0,VLOOKUP(A85,'[1]Budget Overview'!$A:$B,2,FALSE))</f>
        <v>0</v>
      </c>
      <c r="C85" s="5">
        <f>0</f>
        <v>0</v>
      </c>
      <c r="D85" s="16">
        <f t="shared" si="1"/>
        <v>0</v>
      </c>
    </row>
    <row r="86" spans="1:4" x14ac:dyDescent="0.2">
      <c r="A86" s="3" t="s">
        <v>78</v>
      </c>
      <c r="B86" s="5">
        <f>IF(ISERROR(VLOOKUP(A86,'[1]Budget Overview'!$A:$B,2,FALSE)),0,VLOOKUP(A86,'[1]Budget Overview'!$A:$B,2,FALSE))</f>
        <v>0</v>
      </c>
      <c r="C86" s="5">
        <f>29316.99</f>
        <v>29316.99</v>
      </c>
      <c r="D86" s="16">
        <f t="shared" si="1"/>
        <v>29316.99</v>
      </c>
    </row>
    <row r="87" spans="1:4" x14ac:dyDescent="0.2">
      <c r="A87" s="3" t="s">
        <v>79</v>
      </c>
      <c r="B87" s="6">
        <f>(((((((((((((((((((((((B40)+(B47))+(B48))+(B49))+(B50))+(B51))+(B52))+(B53))+(B57))+(B58))+(B62))+(B67))+(B68))+(B69))+(B70))+B71+(B72))+(B73))+(B74))+(B75))+(B79))+(B83))+(B84))+(B85))+(B86)</f>
        <v>893420</v>
      </c>
      <c r="C87" s="6">
        <f>(((((((((((((((((((((((C40)+(C47))+(C48))+(C49))+(C50))+(C51))+(C52))+(C53))+(C57))+(C58))+(C62))+(C67))+(C68))+(C69))+(C70))+C71+(C72))+(C73))+(C74))+(C75))+(C79))+(C83))+(C84))+(C85))+(C86)</f>
        <v>865213.67999999993</v>
      </c>
      <c r="D87" s="17">
        <f t="shared" si="1"/>
        <v>-28206.320000000065</v>
      </c>
    </row>
    <row r="88" spans="1:4" x14ac:dyDescent="0.2">
      <c r="A88" s="3" t="s">
        <v>80</v>
      </c>
      <c r="B88" s="6">
        <f>(B38)-(B87)</f>
        <v>8480</v>
      </c>
      <c r="C88" s="6">
        <f>(C38)-(C87)</f>
        <v>164195.99</v>
      </c>
      <c r="D88" s="17">
        <f t="shared" si="1"/>
        <v>155715.99</v>
      </c>
    </row>
    <row r="89" spans="1:4" x14ac:dyDescent="0.2">
      <c r="A89" s="3" t="s">
        <v>81</v>
      </c>
      <c r="B89" s="4">
        <f>IF(ISERROR(VLOOKUP(A89,'[1]Budget Overview'!$A:$B,2,FALSE)),0,VLOOKUP(A89,'[1]Budget Overview'!$A:$B,2,FALSE))</f>
        <v>0</v>
      </c>
      <c r="C89" s="4"/>
      <c r="D89" s="15">
        <f t="shared" si="1"/>
        <v>0</v>
      </c>
    </row>
    <row r="90" spans="1:4" x14ac:dyDescent="0.2">
      <c r="A90" s="3" t="s">
        <v>82</v>
      </c>
      <c r="B90" s="5">
        <f>IF(ISERROR(VLOOKUP(A90,'[1]Budget Overview'!$A:$B,2,FALSE)),0,VLOOKUP(A90,'[1]Budget Overview'!$A:$B,2,FALSE))</f>
        <v>0</v>
      </c>
      <c r="C90" s="5">
        <f>0</f>
        <v>0</v>
      </c>
      <c r="D90" s="16">
        <f t="shared" si="1"/>
        <v>0</v>
      </c>
    </row>
    <row r="91" spans="1:4" x14ac:dyDescent="0.2">
      <c r="A91" s="3" t="s">
        <v>83</v>
      </c>
      <c r="B91" s="5">
        <f>IF(ISERROR(VLOOKUP(A91,'[1]Budget Overview'!$A:$B,2,FALSE)),0,VLOOKUP(A91,'[1]Budget Overview'!$A:$B,2,FALSE))</f>
        <v>2000</v>
      </c>
      <c r="C91" s="5">
        <f>2073.63</f>
        <v>2073.63</v>
      </c>
      <c r="D91" s="16">
        <f t="shared" si="1"/>
        <v>73.630000000000109</v>
      </c>
    </row>
    <row r="92" spans="1:4" x14ac:dyDescent="0.2">
      <c r="A92" s="3" t="s">
        <v>84</v>
      </c>
      <c r="B92" s="5">
        <f>IF(ISERROR(VLOOKUP(A92,'[1]Budget Overview'!$A:$B,2,FALSE)),0,VLOOKUP(A92,'[1]Budget Overview'!$A:$B,2,FALSE))</f>
        <v>4300</v>
      </c>
      <c r="C92" s="5">
        <f>2046.39</f>
        <v>2046.39</v>
      </c>
      <c r="D92" s="16">
        <f t="shared" si="1"/>
        <v>-2253.6099999999997</v>
      </c>
    </row>
    <row r="93" spans="1:4" x14ac:dyDescent="0.2">
      <c r="A93" s="3" t="s">
        <v>85</v>
      </c>
      <c r="B93" s="5">
        <f>IF(ISERROR(VLOOKUP(A93,'[1]Budget Overview'!$A:$B,2,FALSE)),0,VLOOKUP(A93,'[1]Budget Overview'!$A:$B,2,FALSE))</f>
        <v>0</v>
      </c>
      <c r="C93" s="5">
        <f>99.48</f>
        <v>99.48</v>
      </c>
      <c r="D93" s="16">
        <f t="shared" si="1"/>
        <v>99.48</v>
      </c>
    </row>
    <row r="94" spans="1:4" x14ac:dyDescent="0.2">
      <c r="A94" s="3" t="s">
        <v>86</v>
      </c>
      <c r="B94" s="5">
        <f>IF(ISERROR(VLOOKUP(A94,'[1]Budget Overview'!$A:$B,2,FALSE)),0,VLOOKUP(A94,'[1]Budget Overview'!$A:$B,2,FALSE))</f>
        <v>0</v>
      </c>
      <c r="C94" s="5">
        <f>408.12</f>
        <v>408.12</v>
      </c>
      <c r="D94" s="16">
        <f t="shared" si="1"/>
        <v>408.12</v>
      </c>
    </row>
    <row r="95" spans="1:4" x14ac:dyDescent="0.2">
      <c r="A95" s="3" t="s">
        <v>87</v>
      </c>
      <c r="B95" s="5">
        <f>IF(ISERROR(VLOOKUP(A95,'[1]Budget Overview'!$A:$B,2,FALSE)),0,VLOOKUP(A95,'[1]Budget Overview'!$A:$B,2,FALSE))</f>
        <v>0</v>
      </c>
      <c r="C95" s="5">
        <f>3200</f>
        <v>3200</v>
      </c>
      <c r="D95" s="16">
        <f t="shared" si="1"/>
        <v>3200</v>
      </c>
    </row>
    <row r="96" spans="1:4" x14ac:dyDescent="0.2">
      <c r="A96" s="3" t="s">
        <v>88</v>
      </c>
      <c r="B96" s="5">
        <f>IF(ISERROR(VLOOKUP(A96,'[1]Budget Overview'!$A:$B,2,FALSE)),0,VLOOKUP(A96,'[1]Budget Overview'!$A:$B,2,FALSE))</f>
        <v>0</v>
      </c>
      <c r="C96" s="5">
        <f>260</f>
        <v>260</v>
      </c>
      <c r="D96" s="16">
        <f t="shared" si="1"/>
        <v>260</v>
      </c>
    </row>
    <row r="97" spans="1:4" x14ac:dyDescent="0.2">
      <c r="A97" s="3" t="s">
        <v>89</v>
      </c>
      <c r="B97" s="6">
        <f>((((((B90)+(B91))+(B92))+(B93))+(B94))+(B95))+(B96)</f>
        <v>6300</v>
      </c>
      <c r="C97" s="6">
        <f>((((((C90)+(C91))+(C92))+(C93))+(C94))+(C95))+(C96)</f>
        <v>8087.62</v>
      </c>
      <c r="D97" s="17">
        <f t="shared" si="1"/>
        <v>1787.62</v>
      </c>
    </row>
    <row r="98" spans="1:4" x14ac:dyDescent="0.2">
      <c r="A98" s="3" t="s">
        <v>90</v>
      </c>
      <c r="B98" s="4">
        <f>IF(ISERROR(VLOOKUP(A98,'[1]Budget Overview'!$A:$B,2,FALSE)),0,VLOOKUP(A98,'[1]Budget Overview'!$A:$B,2,FALSE))</f>
        <v>0</v>
      </c>
      <c r="C98" s="4"/>
      <c r="D98" s="15">
        <f t="shared" si="1"/>
        <v>0</v>
      </c>
    </row>
    <row r="99" spans="1:4" x14ac:dyDescent="0.2">
      <c r="A99" s="3" t="s">
        <v>91</v>
      </c>
      <c r="B99" s="5">
        <f>IF(ISERROR(VLOOKUP(A99,'[1]Budget Overview'!$A:$B,2,FALSE)),0,VLOOKUP(A99,'[1]Budget Overview'!$A:$B,2,FALSE))</f>
        <v>0</v>
      </c>
      <c r="C99" s="5">
        <f>402.41</f>
        <v>402.41</v>
      </c>
      <c r="D99" s="16">
        <f t="shared" si="1"/>
        <v>402.41</v>
      </c>
    </row>
    <row r="100" spans="1:4" x14ac:dyDescent="0.2">
      <c r="A100" s="3" t="s">
        <v>92</v>
      </c>
      <c r="B100" s="6">
        <f>B99</f>
        <v>0</v>
      </c>
      <c r="C100" s="6">
        <f>C99</f>
        <v>402.41</v>
      </c>
      <c r="D100" s="17">
        <f t="shared" si="1"/>
        <v>402.41</v>
      </c>
    </row>
    <row r="101" spans="1:4" x14ac:dyDescent="0.2">
      <c r="A101" s="3" t="s">
        <v>93</v>
      </c>
      <c r="B101" s="6">
        <f>(B97)-(B100)</f>
        <v>6300</v>
      </c>
      <c r="C101" s="6">
        <f>(C97)-(C100)</f>
        <v>7685.21</v>
      </c>
      <c r="D101" s="17">
        <f t="shared" si="1"/>
        <v>1385.21</v>
      </c>
    </row>
    <row r="102" spans="1:4" x14ac:dyDescent="0.2">
      <c r="A102" s="3" t="s">
        <v>94</v>
      </c>
      <c r="B102" s="7">
        <f>(B88)+(B101)</f>
        <v>14780</v>
      </c>
      <c r="C102" s="7">
        <f>(C88)+(C101)</f>
        <v>171881.19999999998</v>
      </c>
      <c r="D102" s="18">
        <f t="shared" si="1"/>
        <v>157101.19999999998</v>
      </c>
    </row>
    <row r="103" spans="1:4" x14ac:dyDescent="0.2">
      <c r="A103" s="3"/>
      <c r="B103" s="4"/>
      <c r="C103" s="4"/>
      <c r="D103" s="15"/>
    </row>
    <row r="106" spans="1:4" x14ac:dyDescent="0.2">
      <c r="A106" s="11"/>
      <c r="B106" s="9"/>
      <c r="C106" s="9"/>
      <c r="D106" s="12"/>
    </row>
  </sheetData>
  <phoneticPr fontId="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2021-03-16T01:56:01Z</cp:lastPrinted>
  <dcterms:created xsi:type="dcterms:W3CDTF">2021-02-04T18:34:00Z</dcterms:created>
  <dcterms:modified xsi:type="dcterms:W3CDTF">2021-03-16T01:56:15Z</dcterms:modified>
</cp:coreProperties>
</file>