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eo/Desktop/March 2022 Board Meeting/"/>
    </mc:Choice>
  </mc:AlternateContent>
  <xr:revisionPtr revIDLastSave="0" documentId="8_{CFFEDA70-7E7B-A448-B3B7-D7AC819EDBA3}" xr6:coauthVersionLast="47" xr6:coauthVersionMax="47" xr10:uidLastSave="{00000000-0000-0000-0000-000000000000}"/>
  <bookViews>
    <workbookView xWindow="0" yWindow="500" windowWidth="28800" windowHeight="15800" xr2:uid="{00000000-000D-0000-FFFF-FFFF00000000}"/>
  </bookViews>
  <sheets>
    <sheet name="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9" i="1" l="1"/>
  <c r="D98" i="1"/>
  <c r="D95" i="1"/>
  <c r="D82" i="1"/>
  <c r="D85" i="1" s="1"/>
  <c r="D86" i="1" s="1"/>
  <c r="D100" i="1" s="1"/>
  <c r="D77" i="1"/>
  <c r="D64" i="1"/>
  <c r="D59" i="1"/>
  <c r="D54" i="1"/>
  <c r="D44" i="1"/>
  <c r="D34" i="1"/>
  <c r="D33" i="1"/>
  <c r="D30" i="1"/>
  <c r="D29" i="1"/>
  <c r="D25" i="1"/>
  <c r="D22" i="1"/>
  <c r="D17" i="1"/>
  <c r="D12" i="1"/>
  <c r="D9" i="1"/>
  <c r="B98" i="1" l="1"/>
  <c r="C97" i="1"/>
  <c r="C98" i="1" s="1"/>
  <c r="C94" i="1"/>
  <c r="B93" i="1"/>
  <c r="C93" i="1"/>
  <c r="C92" i="1"/>
  <c r="C91" i="1"/>
  <c r="C90" i="1"/>
  <c r="B89" i="1"/>
  <c r="C89" i="1"/>
  <c r="B88" i="1"/>
  <c r="C88" i="1"/>
  <c r="B84" i="1"/>
  <c r="C84" i="1"/>
  <c r="C83" i="1"/>
  <c r="B81" i="1"/>
  <c r="C81" i="1"/>
  <c r="B80" i="1"/>
  <c r="C80" i="1"/>
  <c r="C79" i="1"/>
  <c r="C76" i="1"/>
  <c r="B75" i="1"/>
  <c r="C75" i="1"/>
  <c r="B74" i="1"/>
  <c r="C74" i="1"/>
  <c r="B73" i="1"/>
  <c r="C73" i="1"/>
  <c r="C72" i="1"/>
  <c r="B71" i="1"/>
  <c r="C71" i="1"/>
  <c r="C70" i="1"/>
  <c r="B69" i="1"/>
  <c r="C68" i="1"/>
  <c r="B67" i="1"/>
  <c r="C67" i="1"/>
  <c r="B66" i="1"/>
  <c r="C66" i="1"/>
  <c r="B65" i="1"/>
  <c r="C65" i="1"/>
  <c r="B63" i="1"/>
  <c r="C63" i="1"/>
  <c r="B62" i="1"/>
  <c r="C62" i="1"/>
  <c r="B61" i="1"/>
  <c r="C61" i="1"/>
  <c r="B60" i="1"/>
  <c r="C60" i="1"/>
  <c r="C58" i="1"/>
  <c r="B57" i="1"/>
  <c r="C57" i="1"/>
  <c r="B56" i="1"/>
  <c r="C56" i="1"/>
  <c r="C55" i="1"/>
  <c r="B53" i="1"/>
  <c r="C53" i="1"/>
  <c r="B52" i="1"/>
  <c r="C52" i="1"/>
  <c r="B51" i="1"/>
  <c r="C51" i="1"/>
  <c r="B50" i="1"/>
  <c r="C50" i="1"/>
  <c r="B49" i="1"/>
  <c r="C49" i="1"/>
  <c r="B48" i="1"/>
  <c r="C48" i="1"/>
  <c r="B47" i="1"/>
  <c r="C47" i="1"/>
  <c r="B46" i="1"/>
  <c r="C46" i="1"/>
  <c r="B45" i="1"/>
  <c r="C45" i="1"/>
  <c r="B43" i="1"/>
  <c r="C43" i="1"/>
  <c r="C42" i="1"/>
  <c r="B41" i="1"/>
  <c r="C41" i="1"/>
  <c r="B40" i="1"/>
  <c r="C40" i="1"/>
  <c r="C39" i="1"/>
  <c r="B38" i="1"/>
  <c r="C38" i="1"/>
  <c r="C37" i="1"/>
  <c r="B36" i="1"/>
  <c r="B32" i="1"/>
  <c r="B33" i="1" s="1"/>
  <c r="C32" i="1"/>
  <c r="B28" i="1"/>
  <c r="C28" i="1"/>
  <c r="B27" i="1"/>
  <c r="C27" i="1"/>
  <c r="B26" i="1"/>
  <c r="C26" i="1"/>
  <c r="C24" i="1"/>
  <c r="B23" i="1"/>
  <c r="C23" i="1"/>
  <c r="B21" i="1"/>
  <c r="B22" i="1" s="1"/>
  <c r="C21" i="1"/>
  <c r="B19" i="1"/>
  <c r="C19" i="1"/>
  <c r="B18" i="1"/>
  <c r="C18" i="1"/>
  <c r="B16" i="1"/>
  <c r="C16" i="1"/>
  <c r="B15" i="1"/>
  <c r="C15" i="1"/>
  <c r="B14" i="1"/>
  <c r="C14" i="1"/>
  <c r="B13" i="1"/>
  <c r="C13" i="1"/>
  <c r="B11" i="1"/>
  <c r="C11" i="1"/>
  <c r="B10" i="1"/>
  <c r="C10" i="1"/>
  <c r="C8" i="1"/>
  <c r="B7" i="1"/>
  <c r="C7" i="1"/>
  <c r="B6" i="1"/>
  <c r="C6" i="1"/>
  <c r="B5" i="1"/>
  <c r="C5" i="1"/>
  <c r="B59" i="1" l="1"/>
  <c r="B12" i="1"/>
  <c r="B29" i="1"/>
  <c r="C29" i="1"/>
  <c r="B54" i="1"/>
  <c r="B17" i="1"/>
  <c r="C59" i="1"/>
  <c r="C77" i="1"/>
  <c r="C33" i="1"/>
  <c r="C17" i="1"/>
  <c r="C64" i="1"/>
  <c r="C9" i="1"/>
  <c r="B64" i="1"/>
  <c r="B95" i="1"/>
  <c r="B99" i="1" s="1"/>
  <c r="C25" i="1"/>
  <c r="C44" i="1"/>
  <c r="C54" i="1"/>
  <c r="B82" i="1"/>
  <c r="B44" i="1"/>
  <c r="C12" i="1"/>
  <c r="B77" i="1"/>
  <c r="C82" i="1"/>
  <c r="C22" i="1"/>
  <c r="B25" i="1"/>
  <c r="B9" i="1"/>
  <c r="C95" i="1"/>
  <c r="B85" i="1" l="1"/>
  <c r="B30" i="1"/>
  <c r="B34" i="1" s="1"/>
  <c r="C85" i="1"/>
  <c r="C99" i="1"/>
  <c r="C30" i="1"/>
  <c r="B86" i="1" l="1"/>
  <c r="B100" i="1" s="1"/>
  <c r="C34" i="1"/>
  <c r="C86" i="1" l="1"/>
  <c r="C100" i="1" l="1"/>
</calcChain>
</file>

<file path=xl/sharedStrings.xml><?xml version="1.0" encoding="utf-8"?>
<sst xmlns="http://schemas.openxmlformats.org/spreadsheetml/2006/main" count="102" uniqueCount="102">
  <si>
    <t>Income</t>
  </si>
  <si>
    <t xml:space="preserve">   4000 Individual Donations</t>
  </si>
  <si>
    <t xml:space="preserve">      4005 Memorial Donations</t>
  </si>
  <si>
    <t xml:space="preserve">      4010 Donor Advised Funds</t>
  </si>
  <si>
    <t xml:space="preserve">      4015 Temp Restricted Donations</t>
  </si>
  <si>
    <t xml:space="preserve">   Total 4000 Individual Donations</t>
  </si>
  <si>
    <t xml:space="preserve">   4050 Membership</t>
  </si>
  <si>
    <t xml:space="preserve">      4055 Board Member Dues</t>
  </si>
  <si>
    <t xml:space="preserve">   Total 4050 Membership</t>
  </si>
  <si>
    <t xml:space="preserve">   4100 Corporate Donations</t>
  </si>
  <si>
    <t xml:space="preserve">      4130 Sponsorships</t>
  </si>
  <si>
    <t xml:space="preserve">      4140 Business Partnerships</t>
  </si>
  <si>
    <t xml:space="preserve">      4150 Corporate Matched Funds</t>
  </si>
  <si>
    <t xml:space="preserve">   Total 4100 Corporate Donations</t>
  </si>
  <si>
    <t xml:space="preserve">   4200 Non-Government Grants</t>
  </si>
  <si>
    <t xml:space="preserve">   4250 Government Grants</t>
  </si>
  <si>
    <t xml:space="preserve">   4300 Program Income</t>
  </si>
  <si>
    <t xml:space="preserve">      4320 Trail Building Workshops</t>
  </si>
  <si>
    <t xml:space="preserve">   Total 4300 Program Income</t>
  </si>
  <si>
    <t xml:space="preserve">   4350 Special Events</t>
  </si>
  <si>
    <t xml:space="preserve">      4360 Endurance Registration</t>
  </si>
  <si>
    <t xml:space="preserve">   Total 4350 Special Events</t>
  </si>
  <si>
    <t xml:space="preserve">   4600 Raffle Income</t>
  </si>
  <si>
    <t xml:space="preserve">   4700 Product Sales</t>
  </si>
  <si>
    <t xml:space="preserve">      4710 Wholesale</t>
  </si>
  <si>
    <t xml:space="preserve">   Total 4700 Product Sales</t>
  </si>
  <si>
    <t>Total Income</t>
  </si>
  <si>
    <t>Cost of Goods Sold</t>
  </si>
  <si>
    <t xml:space="preserve">   5000 Product Cost</t>
  </si>
  <si>
    <t>Total Cost of Goods Sold</t>
  </si>
  <si>
    <t>Gross Profit</t>
  </si>
  <si>
    <t>Expenses</t>
  </si>
  <si>
    <t xml:space="preserve">   5020 Raffle Expense</t>
  </si>
  <si>
    <t xml:space="preserve">   5100 Payroll &amp; ERE</t>
  </si>
  <si>
    <t xml:space="preserve">      5110 Salaries &amp; Wages</t>
  </si>
  <si>
    <t xml:space="preserve">      5115 Bonuses</t>
  </si>
  <si>
    <t xml:space="preserve">      5130 Health Insurance</t>
  </si>
  <si>
    <t xml:space="preserve">      5140 Payroll Taxes</t>
  </si>
  <si>
    <t xml:space="preserve">      5145 Unemployment Insurance Tax</t>
  </si>
  <si>
    <t xml:space="preserve">      5150 Staff Training</t>
  </si>
  <si>
    <t xml:space="preserve">   Total 5100 Payroll &amp; ERE</t>
  </si>
  <si>
    <t xml:space="preserve">   5200 Office rent</t>
  </si>
  <si>
    <t xml:space="preserve">   5205 Storage</t>
  </si>
  <si>
    <t xml:space="preserve">   5210 Office Equipment</t>
  </si>
  <si>
    <t xml:space="preserve">   5215 Insurance</t>
  </si>
  <si>
    <t xml:space="preserve">   5220 Printing &amp; Reproduction</t>
  </si>
  <si>
    <t xml:space="preserve">   5225 Postage &amp; Shipping</t>
  </si>
  <si>
    <t xml:space="preserve">   5250 Taxes &amp; Fees</t>
  </si>
  <si>
    <t xml:space="preserve">      5251 Payment Processing</t>
  </si>
  <si>
    <t xml:space="preserve">      5254 Bank Charges</t>
  </si>
  <si>
    <t xml:space="preserve">   Total 5250 Taxes &amp; Fees</t>
  </si>
  <si>
    <t xml:space="preserve">   5260 Advertising</t>
  </si>
  <si>
    <t xml:space="preserve">   5265 Dues &amp; Subscriptions</t>
  </si>
  <si>
    <t xml:space="preserve">      5267 Accounting</t>
  </si>
  <si>
    <t xml:space="preserve">      5268 Lobbying Expenses</t>
  </si>
  <si>
    <t xml:space="preserve">   Total 5265 Dues &amp; Subscriptions</t>
  </si>
  <si>
    <t xml:space="preserve">   5270 Communication</t>
  </si>
  <si>
    <t xml:space="preserve">      5271 Newsletter</t>
  </si>
  <si>
    <t xml:space="preserve">      5272 Database/Software</t>
  </si>
  <si>
    <t xml:space="preserve">      5273 Phone &amp; Internet</t>
  </si>
  <si>
    <t xml:space="preserve">   Total 5270 Communication</t>
  </si>
  <si>
    <t xml:space="preserve">   5290 Depreciation Expense</t>
  </si>
  <si>
    <t xml:space="preserve">   5310 Food &amp; beverage</t>
  </si>
  <si>
    <t xml:space="preserve">   5320 Supplies</t>
  </si>
  <si>
    <t xml:space="preserve">   5340 Entertainment</t>
  </si>
  <si>
    <t xml:space="preserve">   5345 Direct Donor Benefits</t>
  </si>
  <si>
    <t xml:space="preserve">   5350 Venue Cost</t>
  </si>
  <si>
    <t xml:space="preserve">   5360 Awards</t>
  </si>
  <si>
    <t xml:space="preserve">   5365 Raffle Prize Expense</t>
  </si>
  <si>
    <t xml:space="preserve">   5370 Member Fulfillment Items</t>
  </si>
  <si>
    <t xml:space="preserve">   5400 Travel</t>
  </si>
  <si>
    <t xml:space="preserve">      5401 Vehicle Maintenance</t>
  </si>
  <si>
    <t xml:space="preserve">      5402 Van Rental</t>
  </si>
  <si>
    <t xml:space="preserve">   Total 5400 Travel</t>
  </si>
  <si>
    <t xml:space="preserve">   5500 Professional Fee</t>
  </si>
  <si>
    <t xml:space="preserve">      5505 Professional Services</t>
  </si>
  <si>
    <t xml:space="preserve">      5510 Direct Labor</t>
  </si>
  <si>
    <t xml:space="preserve">      5515 Indirect Labor</t>
  </si>
  <si>
    <t xml:space="preserve">   Total 5500 Professional Fee</t>
  </si>
  <si>
    <t xml:space="preserve">   5999 Misc. Expenses</t>
  </si>
  <si>
    <t xml:space="preserve">   7000 Improvements to Public Lands</t>
  </si>
  <si>
    <t>Total Expenses</t>
  </si>
  <si>
    <t>Net Operating Income</t>
  </si>
  <si>
    <t>Other Income</t>
  </si>
  <si>
    <t xml:space="preserve">   8001 Cash Back</t>
  </si>
  <si>
    <t xml:space="preserve">   8002 Dividend Income</t>
  </si>
  <si>
    <t xml:space="preserve">   8100 Unrealized Gain/Loss on Investments</t>
  </si>
  <si>
    <t xml:space="preserve">   8110 PPP Loan Forgiven</t>
  </si>
  <si>
    <t xml:space="preserve">   8120 ERTC Payroll Tax Credit</t>
  </si>
  <si>
    <t xml:space="preserve">   8200 In-Kind Contributions - Tangible</t>
  </si>
  <si>
    <t xml:space="preserve">   8201 In-Kind Contributions - Intangible</t>
  </si>
  <si>
    <t>Total Other Income</t>
  </si>
  <si>
    <t>Other Expenses</t>
  </si>
  <si>
    <t xml:space="preserve">   9100 In-Kind Expenses - Tang</t>
  </si>
  <si>
    <t>Total Other Expenses</t>
  </si>
  <si>
    <t>Net Other Income</t>
  </si>
  <si>
    <t>Net Income</t>
  </si>
  <si>
    <t>Arizona Trail Association</t>
  </si>
  <si>
    <t>2021 Actual</t>
  </si>
  <si>
    <t>2021 Budget</t>
  </si>
  <si>
    <t>2022 proposed Budget</t>
  </si>
  <si>
    <t>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</si>
</sst>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/>
    <xf numFmtId="0" fontId="5" fillId="0" borderId="0" xfId="0" applyFont="1" applyAlignment="1"/>
    <xf numFmtId="39" fontId="0" fillId="0" borderId="0" xfId="1" applyNumberFormat="1" applyFont="1" applyAlignment="1"/>
    <xf numFmtId="39" fontId="0" fillId="0" borderId="0" xfId="1" applyNumberFormat="1" applyFont="1"/>
    <xf numFmtId="39" fontId="1" fillId="0" borderId="1" xfId="1" applyNumberFormat="1" applyFont="1" applyBorder="1" applyAlignment="1">
      <alignment horizontal="center" wrapText="1"/>
    </xf>
    <xf numFmtId="39" fontId="3" fillId="0" borderId="0" xfId="1" applyNumberFormat="1" applyFont="1" applyAlignment="1">
      <alignment wrapText="1"/>
    </xf>
    <xf numFmtId="0" fontId="1" fillId="0" borderId="1" xfId="1" applyNumberFormat="1" applyFont="1" applyBorder="1" applyAlignment="1">
      <alignment horizontal="center" wrapText="1"/>
    </xf>
    <xf numFmtId="0" fontId="3" fillId="0" borderId="0" xfId="0" applyFont="1"/>
    <xf numFmtId="164" fontId="3" fillId="0" borderId="0" xfId="1" applyNumberFormat="1" applyFont="1" applyAlignment="1">
      <alignment horizontal="right" wrapText="1"/>
    </xf>
    <xf numFmtId="164" fontId="3" fillId="0" borderId="0" xfId="0" applyNumberFormat="1" applyFont="1"/>
    <xf numFmtId="164" fontId="3" fillId="0" borderId="0" xfId="1" applyNumberFormat="1" applyFont="1" applyAlignment="1">
      <alignment wrapText="1"/>
    </xf>
    <xf numFmtId="164" fontId="2" fillId="0" borderId="2" xfId="1" applyNumberFormat="1" applyFont="1" applyBorder="1" applyAlignment="1">
      <alignment horizontal="right" wrapText="1"/>
    </xf>
    <xf numFmtId="164" fontId="2" fillId="0" borderId="4" xfId="1" applyNumberFormat="1" applyFont="1" applyBorder="1" applyAlignment="1">
      <alignment horizontal="right" wrapText="1"/>
    </xf>
    <xf numFmtId="164" fontId="2" fillId="0" borderId="3" xfId="0" applyNumberFormat="1" applyFont="1" applyBorder="1"/>
    <xf numFmtId="164" fontId="2" fillId="0" borderId="4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1"/>
  <sheetViews>
    <sheetView tabSelected="1" zoomScale="117" workbookViewId="0">
      <selection activeCell="D81" sqref="D81"/>
    </sheetView>
  </sheetViews>
  <sheetFormatPr baseColWidth="10" defaultColWidth="8.83203125" defaultRowHeight="15" x14ac:dyDescent="0.2"/>
  <cols>
    <col min="1" max="1" width="37.83203125" customWidth="1"/>
    <col min="2" max="3" width="14.6640625" style="6" customWidth="1"/>
    <col min="4" max="4" width="14.33203125" style="10" customWidth="1"/>
  </cols>
  <sheetData>
    <row r="1" spans="1:4" ht="18" x14ac:dyDescent="0.2">
      <c r="A1" s="3" t="s">
        <v>97</v>
      </c>
      <c r="B1" s="5"/>
      <c r="C1" s="5"/>
    </row>
    <row r="2" spans="1:4" x14ac:dyDescent="0.2">
      <c r="A2" s="4" t="s">
        <v>101</v>
      </c>
      <c r="B2" s="5"/>
      <c r="C2" s="5"/>
    </row>
    <row r="3" spans="1:4" ht="27" x14ac:dyDescent="0.2">
      <c r="A3" s="1"/>
      <c r="B3" s="7" t="s">
        <v>99</v>
      </c>
      <c r="C3" s="9" t="s">
        <v>98</v>
      </c>
      <c r="D3" s="7" t="s">
        <v>100</v>
      </c>
    </row>
    <row r="4" spans="1:4" x14ac:dyDescent="0.2">
      <c r="A4" s="2" t="s">
        <v>0</v>
      </c>
      <c r="B4" s="8"/>
      <c r="C4" s="8"/>
    </row>
    <row r="5" spans="1:4" x14ac:dyDescent="0.2">
      <c r="A5" s="2" t="s">
        <v>1</v>
      </c>
      <c r="B5" s="11">
        <f>85600</f>
        <v>85600</v>
      </c>
      <c r="C5" s="11">
        <f>101560.82</f>
        <v>101560.82</v>
      </c>
      <c r="D5" s="12">
        <v>100000</v>
      </c>
    </row>
    <row r="6" spans="1:4" x14ac:dyDescent="0.2">
      <c r="A6" s="2" t="s">
        <v>2</v>
      </c>
      <c r="B6" s="11">
        <f>5000</f>
        <v>5000</v>
      </c>
      <c r="C6" s="11">
        <f>5157.94</f>
        <v>5157.9399999999996</v>
      </c>
      <c r="D6" s="12">
        <v>5000</v>
      </c>
    </row>
    <row r="7" spans="1:4" x14ac:dyDescent="0.2">
      <c r="A7" s="2" t="s">
        <v>3</v>
      </c>
      <c r="B7" s="11">
        <f>25000</f>
        <v>25000</v>
      </c>
      <c r="C7" s="11">
        <f>21361.56</f>
        <v>21361.56</v>
      </c>
      <c r="D7" s="12">
        <v>50000</v>
      </c>
    </row>
    <row r="8" spans="1:4" x14ac:dyDescent="0.2">
      <c r="A8" s="2" t="s">
        <v>4</v>
      </c>
      <c r="B8" s="13"/>
      <c r="C8" s="11">
        <f>1815</f>
        <v>1815</v>
      </c>
      <c r="D8" s="12">
        <v>0</v>
      </c>
    </row>
    <row r="9" spans="1:4" x14ac:dyDescent="0.2">
      <c r="A9" s="2" t="s">
        <v>5</v>
      </c>
      <c r="B9" s="14">
        <f>(((B5)+(B6))+(B7))+(B8)</f>
        <v>115600</v>
      </c>
      <c r="C9" s="14">
        <f>(((C5)+(C6))+(C7))+(C8)</f>
        <v>129895.32</v>
      </c>
      <c r="D9" s="16">
        <f>SUM(D5:D8)</f>
        <v>155000</v>
      </c>
    </row>
    <row r="10" spans="1:4" x14ac:dyDescent="0.2">
      <c r="A10" s="2" t="s">
        <v>6</v>
      </c>
      <c r="B10" s="11">
        <f>132612</f>
        <v>132612</v>
      </c>
      <c r="C10" s="11">
        <f>138905.75</f>
        <v>138905.75</v>
      </c>
      <c r="D10" s="12">
        <v>150000</v>
      </c>
    </row>
    <row r="11" spans="1:4" x14ac:dyDescent="0.2">
      <c r="A11" s="2" t="s">
        <v>7</v>
      </c>
      <c r="B11" s="11">
        <f>6000</f>
        <v>6000</v>
      </c>
      <c r="C11" s="11">
        <f>3658</f>
        <v>3658</v>
      </c>
      <c r="D11" s="12">
        <v>4500</v>
      </c>
    </row>
    <row r="12" spans="1:4" x14ac:dyDescent="0.2">
      <c r="A12" s="2" t="s">
        <v>8</v>
      </c>
      <c r="B12" s="14">
        <f>(B10)+(B11)</f>
        <v>138612</v>
      </c>
      <c r="C12" s="14">
        <f>(C10)+(C11)</f>
        <v>142563.75</v>
      </c>
      <c r="D12" s="16">
        <f>SUM(D10:D11)</f>
        <v>154500</v>
      </c>
    </row>
    <row r="13" spans="1:4" x14ac:dyDescent="0.2">
      <c r="A13" s="2" t="s">
        <v>9</v>
      </c>
      <c r="B13" s="11">
        <f>45000</f>
        <v>45000</v>
      </c>
      <c r="C13" s="11">
        <f>132679.29</f>
        <v>132679.29</v>
      </c>
      <c r="D13" s="12">
        <v>85000</v>
      </c>
    </row>
    <row r="14" spans="1:4" x14ac:dyDescent="0.2">
      <c r="A14" s="2" t="s">
        <v>10</v>
      </c>
      <c r="B14" s="11">
        <f>5000</f>
        <v>5000</v>
      </c>
      <c r="C14" s="11">
        <f>4000</f>
        <v>4000</v>
      </c>
      <c r="D14" s="12">
        <v>5500</v>
      </c>
    </row>
    <row r="15" spans="1:4" x14ac:dyDescent="0.2">
      <c r="A15" s="2" t="s">
        <v>11</v>
      </c>
      <c r="B15" s="11">
        <f>32000</f>
        <v>32000</v>
      </c>
      <c r="C15" s="11">
        <f>24512.71</f>
        <v>24512.71</v>
      </c>
      <c r="D15" s="12">
        <v>28500</v>
      </c>
    </row>
    <row r="16" spans="1:4" x14ac:dyDescent="0.2">
      <c r="A16" s="2" t="s">
        <v>12</v>
      </c>
      <c r="B16" s="11">
        <f>5000</f>
        <v>5000</v>
      </c>
      <c r="C16" s="11">
        <f>3493.38</f>
        <v>3493.38</v>
      </c>
      <c r="D16" s="12">
        <v>5000</v>
      </c>
    </row>
    <row r="17" spans="1:4" x14ac:dyDescent="0.2">
      <c r="A17" s="2" t="s">
        <v>13</v>
      </c>
      <c r="B17" s="14">
        <f>(((B13)+(B14))+(B15))+(B16)</f>
        <v>87000</v>
      </c>
      <c r="C17" s="14">
        <f>(((C13)+(C14))+(C15))+(C16)</f>
        <v>164685.38</v>
      </c>
      <c r="D17" s="16">
        <f>SUM(D13:D16)</f>
        <v>124000</v>
      </c>
    </row>
    <row r="18" spans="1:4" x14ac:dyDescent="0.2">
      <c r="A18" s="2" t="s">
        <v>14</v>
      </c>
      <c r="B18" s="11">
        <f>210000</f>
        <v>210000</v>
      </c>
      <c r="C18" s="11">
        <f>263149.68</f>
        <v>263149.68</v>
      </c>
      <c r="D18" s="12">
        <v>250000</v>
      </c>
    </row>
    <row r="19" spans="1:4" x14ac:dyDescent="0.2">
      <c r="A19" s="2" t="s">
        <v>15</v>
      </c>
      <c r="B19" s="11">
        <f>400000</f>
        <v>400000</v>
      </c>
      <c r="C19" s="11">
        <f>226323.37</f>
        <v>226323.37</v>
      </c>
      <c r="D19" s="12">
        <v>820000</v>
      </c>
    </row>
    <row r="20" spans="1:4" x14ac:dyDescent="0.2">
      <c r="A20" s="2" t="s">
        <v>16</v>
      </c>
      <c r="B20" s="13"/>
      <c r="C20" s="13"/>
      <c r="D20" s="12"/>
    </row>
    <row r="21" spans="1:4" x14ac:dyDescent="0.2">
      <c r="A21" s="2" t="s">
        <v>17</v>
      </c>
      <c r="B21" s="11">
        <f>7200</f>
        <v>7200</v>
      </c>
      <c r="C21" s="11">
        <f>4775</f>
        <v>4775</v>
      </c>
      <c r="D21" s="12">
        <v>7000</v>
      </c>
    </row>
    <row r="22" spans="1:4" x14ac:dyDescent="0.2">
      <c r="A22" s="2" t="s">
        <v>18</v>
      </c>
      <c r="B22" s="14">
        <f>(B20)+(B21)</f>
        <v>7200</v>
      </c>
      <c r="C22" s="14">
        <f>(C20)+(C21)</f>
        <v>4775</v>
      </c>
      <c r="D22" s="16">
        <f>SUM(D21)</f>
        <v>7000</v>
      </c>
    </row>
    <row r="23" spans="1:4" x14ac:dyDescent="0.2">
      <c r="A23" s="2" t="s">
        <v>19</v>
      </c>
      <c r="B23" s="11">
        <f>10000</f>
        <v>10000</v>
      </c>
      <c r="C23" s="11">
        <f>307.88</f>
        <v>307.88</v>
      </c>
      <c r="D23" s="12">
        <v>500</v>
      </c>
    </row>
    <row r="24" spans="1:4" x14ac:dyDescent="0.2">
      <c r="A24" s="2" t="s">
        <v>20</v>
      </c>
      <c r="B24" s="13"/>
      <c r="C24" s="11">
        <f>72195.75</f>
        <v>72195.75</v>
      </c>
      <c r="D24" s="12">
        <v>76000</v>
      </c>
    </row>
    <row r="25" spans="1:4" x14ac:dyDescent="0.2">
      <c r="A25" s="2" t="s">
        <v>21</v>
      </c>
      <c r="B25" s="14">
        <f>(B23)+(B24)</f>
        <v>10000</v>
      </c>
      <c r="C25" s="14">
        <f>(C23)+(C24)</f>
        <v>72503.63</v>
      </c>
      <c r="D25" s="16">
        <f>SUM(D23:D24)</f>
        <v>76500</v>
      </c>
    </row>
    <row r="26" spans="1:4" x14ac:dyDescent="0.2">
      <c r="A26" s="2" t="s">
        <v>22</v>
      </c>
      <c r="B26" s="11">
        <f>10000</f>
        <v>10000</v>
      </c>
      <c r="C26" s="11">
        <f>18221.15</f>
        <v>18221.150000000001</v>
      </c>
      <c r="D26" s="12">
        <v>15000</v>
      </c>
    </row>
    <row r="27" spans="1:4" x14ac:dyDescent="0.2">
      <c r="A27" s="2" t="s">
        <v>23</v>
      </c>
      <c r="B27" s="11">
        <f>55000</f>
        <v>55000</v>
      </c>
      <c r="C27" s="11">
        <f>60564.96</f>
        <v>60564.959999999999</v>
      </c>
      <c r="D27" s="12">
        <v>64000</v>
      </c>
    </row>
    <row r="28" spans="1:4" x14ac:dyDescent="0.2">
      <c r="A28" s="2" t="s">
        <v>24</v>
      </c>
      <c r="B28" s="11">
        <f>12000</f>
        <v>12000</v>
      </c>
      <c r="C28" s="11">
        <f>16979.1</f>
        <v>16979.099999999999</v>
      </c>
      <c r="D28" s="12">
        <v>15000</v>
      </c>
    </row>
    <row r="29" spans="1:4" x14ac:dyDescent="0.2">
      <c r="A29" s="2" t="s">
        <v>25</v>
      </c>
      <c r="B29" s="14">
        <f>(B27)+(B28)</f>
        <v>67000</v>
      </c>
      <c r="C29" s="14">
        <f>(C27)+(C28)</f>
        <v>77544.06</v>
      </c>
      <c r="D29" s="16">
        <f>SUM(D27:D28)</f>
        <v>79000</v>
      </c>
    </row>
    <row r="30" spans="1:4" x14ac:dyDescent="0.2">
      <c r="A30" s="2" t="s">
        <v>26</v>
      </c>
      <c r="B30" s="14">
        <f>((((((((B9)+(B12))+(B17))+(B18))+(B19))+(B22))+(B25))+(B26))+(B29)</f>
        <v>1045412</v>
      </c>
      <c r="C30" s="14">
        <f>((((((((C9)+(C12))+(C17))+(C18))+(C19))+(C22))+(C25))+(C26))+(C29)</f>
        <v>1099661.3400000001</v>
      </c>
      <c r="D30" s="16">
        <f>SUM(D29,D26,D25,D22,D19,D18,D17,D12,D9)</f>
        <v>1681000</v>
      </c>
    </row>
    <row r="31" spans="1:4" x14ac:dyDescent="0.2">
      <c r="A31" s="2" t="s">
        <v>27</v>
      </c>
      <c r="B31" s="13"/>
      <c r="C31" s="13"/>
      <c r="D31" s="12"/>
    </row>
    <row r="32" spans="1:4" x14ac:dyDescent="0.2">
      <c r="A32" s="2" t="s">
        <v>28</v>
      </c>
      <c r="B32" s="11">
        <f>28700</f>
        <v>28700</v>
      </c>
      <c r="C32" s="11">
        <f>43768.61</f>
        <v>43768.61</v>
      </c>
      <c r="D32" s="12">
        <v>45000</v>
      </c>
    </row>
    <row r="33" spans="1:4" x14ac:dyDescent="0.2">
      <c r="A33" s="2" t="s">
        <v>29</v>
      </c>
      <c r="B33" s="14">
        <f>B32</f>
        <v>28700</v>
      </c>
      <c r="C33" s="14">
        <f>C32</f>
        <v>43768.61</v>
      </c>
      <c r="D33" s="16">
        <f>SUM(D32)</f>
        <v>45000</v>
      </c>
    </row>
    <row r="34" spans="1:4" x14ac:dyDescent="0.2">
      <c r="A34" s="2" t="s">
        <v>30</v>
      </c>
      <c r="B34" s="14">
        <f>(B30)-(B33)</f>
        <v>1016712</v>
      </c>
      <c r="C34" s="14">
        <f>(C30)-(C33)</f>
        <v>1055892.73</v>
      </c>
      <c r="D34" s="16">
        <f>SUM(D30-D33)</f>
        <v>1636000</v>
      </c>
    </row>
    <row r="35" spans="1:4" x14ac:dyDescent="0.2">
      <c r="A35" s="2" t="s">
        <v>31</v>
      </c>
      <c r="B35" s="13"/>
      <c r="C35" s="13"/>
      <c r="D35" s="12"/>
    </row>
    <row r="36" spans="1:4" x14ac:dyDescent="0.2">
      <c r="A36" s="2" t="s">
        <v>32</v>
      </c>
      <c r="B36" s="11">
        <f>200</f>
        <v>200</v>
      </c>
      <c r="C36" s="13"/>
      <c r="D36" s="12">
        <v>200</v>
      </c>
    </row>
    <row r="37" spans="1:4" x14ac:dyDescent="0.2">
      <c r="A37" s="2" t="s">
        <v>33</v>
      </c>
      <c r="B37" s="13"/>
      <c r="C37" s="11">
        <f>1678.39</f>
        <v>1678.39</v>
      </c>
      <c r="D37" s="12">
        <v>1500</v>
      </c>
    </row>
    <row r="38" spans="1:4" x14ac:dyDescent="0.2">
      <c r="A38" s="2" t="s">
        <v>34</v>
      </c>
      <c r="B38" s="11">
        <f>374883</f>
        <v>374883</v>
      </c>
      <c r="C38" s="11">
        <f>375895.6</f>
        <v>375895.6</v>
      </c>
      <c r="D38" s="12">
        <v>413395</v>
      </c>
    </row>
    <row r="39" spans="1:4" x14ac:dyDescent="0.2">
      <c r="A39" s="2" t="s">
        <v>35</v>
      </c>
      <c r="B39" s="13"/>
      <c r="C39" s="11">
        <f>5000</f>
        <v>5000</v>
      </c>
      <c r="D39" s="12">
        <v>0</v>
      </c>
    </row>
    <row r="40" spans="1:4" x14ac:dyDescent="0.2">
      <c r="A40" s="2" t="s">
        <v>36</v>
      </c>
      <c r="B40" s="11">
        <f>14600</f>
        <v>14600</v>
      </c>
      <c r="C40" s="11">
        <f>7819.12</f>
        <v>7819.12</v>
      </c>
      <c r="D40" s="12">
        <v>8000</v>
      </c>
    </row>
    <row r="41" spans="1:4" x14ac:dyDescent="0.2">
      <c r="A41" s="2" t="s">
        <v>37</v>
      </c>
      <c r="B41" s="11">
        <f>27741</f>
        <v>27741</v>
      </c>
      <c r="C41" s="11">
        <f>30666.29</f>
        <v>30666.29</v>
      </c>
      <c r="D41" s="12">
        <v>33732</v>
      </c>
    </row>
    <row r="42" spans="1:4" x14ac:dyDescent="0.2">
      <c r="A42" s="2" t="s">
        <v>38</v>
      </c>
      <c r="B42" s="13"/>
      <c r="C42" s="11">
        <f>2567.66</f>
        <v>2567.66</v>
      </c>
      <c r="D42" s="12">
        <v>0</v>
      </c>
    </row>
    <row r="43" spans="1:4" x14ac:dyDescent="0.2">
      <c r="A43" s="2" t="s">
        <v>39</v>
      </c>
      <c r="B43" s="11">
        <f>2200</f>
        <v>2200</v>
      </c>
      <c r="C43" s="11">
        <f>3365.34</f>
        <v>3365.34</v>
      </c>
      <c r="D43" s="12">
        <v>5500</v>
      </c>
    </row>
    <row r="44" spans="1:4" x14ac:dyDescent="0.2">
      <c r="A44" s="2" t="s">
        <v>40</v>
      </c>
      <c r="B44" s="14">
        <f>((((((B37)+(B38))+(B39))+(B40))+(B41))+(B42))+(B43)</f>
        <v>419424</v>
      </c>
      <c r="C44" s="14">
        <f>((((((C37)+(C38))+(C39))+(C40))+(C41))+(C42))+(C43)</f>
        <v>426992.39999999997</v>
      </c>
      <c r="D44" s="16">
        <f>SUM(D37:D43)</f>
        <v>462127</v>
      </c>
    </row>
    <row r="45" spans="1:4" x14ac:dyDescent="0.2">
      <c r="A45" s="2" t="s">
        <v>41</v>
      </c>
      <c r="B45" s="11">
        <f>13611</f>
        <v>13611</v>
      </c>
      <c r="C45" s="11">
        <f>16083.6</f>
        <v>16083.6</v>
      </c>
      <c r="D45" s="12">
        <v>16500</v>
      </c>
    </row>
    <row r="46" spans="1:4" x14ac:dyDescent="0.2">
      <c r="A46" s="2" t="s">
        <v>42</v>
      </c>
      <c r="B46" s="11">
        <f>6000</f>
        <v>6000</v>
      </c>
      <c r="C46" s="11">
        <f>7585.2</f>
        <v>7585.2</v>
      </c>
      <c r="D46" s="12">
        <v>8343</v>
      </c>
    </row>
    <row r="47" spans="1:4" x14ac:dyDescent="0.2">
      <c r="A47" s="2" t="s">
        <v>43</v>
      </c>
      <c r="B47" s="11">
        <f>1200</f>
        <v>1200</v>
      </c>
      <c r="C47" s="11">
        <f>62.09</f>
        <v>62.09</v>
      </c>
      <c r="D47" s="12">
        <v>1200</v>
      </c>
    </row>
    <row r="48" spans="1:4" x14ac:dyDescent="0.2">
      <c r="A48" s="2" t="s">
        <v>44</v>
      </c>
      <c r="B48" s="11">
        <f>20000</f>
        <v>20000</v>
      </c>
      <c r="C48" s="11">
        <f>27469.1</f>
        <v>27469.1</v>
      </c>
      <c r="D48" s="12">
        <v>32000</v>
      </c>
    </row>
    <row r="49" spans="1:4" x14ac:dyDescent="0.2">
      <c r="A49" s="2" t="s">
        <v>45</v>
      </c>
      <c r="B49" s="11">
        <f>15000</f>
        <v>15000</v>
      </c>
      <c r="C49" s="11">
        <f>2760.53</f>
        <v>2760.53</v>
      </c>
      <c r="D49" s="12">
        <v>3000</v>
      </c>
    </row>
    <row r="50" spans="1:4" x14ac:dyDescent="0.2">
      <c r="A50" s="2" t="s">
        <v>46</v>
      </c>
      <c r="B50" s="11">
        <f>15050</f>
        <v>15050</v>
      </c>
      <c r="C50" s="11">
        <f>15291.67</f>
        <v>15291.67</v>
      </c>
      <c r="D50" s="12">
        <v>16500</v>
      </c>
    </row>
    <row r="51" spans="1:4" x14ac:dyDescent="0.2">
      <c r="A51" s="2" t="s">
        <v>47</v>
      </c>
      <c r="B51" s="11">
        <f>25</f>
        <v>25</v>
      </c>
      <c r="C51" s="11">
        <f>66.01</f>
        <v>66.010000000000005</v>
      </c>
      <c r="D51" s="12">
        <v>50</v>
      </c>
    </row>
    <row r="52" spans="1:4" x14ac:dyDescent="0.2">
      <c r="A52" s="2" t="s">
        <v>48</v>
      </c>
      <c r="B52" s="11">
        <f>8000</f>
        <v>8000</v>
      </c>
      <c r="C52" s="11">
        <f>9824.85</f>
        <v>9824.85</v>
      </c>
      <c r="D52" s="12">
        <v>11000</v>
      </c>
    </row>
    <row r="53" spans="1:4" x14ac:dyDescent="0.2">
      <c r="A53" s="2" t="s">
        <v>49</v>
      </c>
      <c r="B53" s="11">
        <f>100</f>
        <v>100</v>
      </c>
      <c r="C53" s="11">
        <f>87.39</f>
        <v>87.39</v>
      </c>
      <c r="D53" s="12">
        <v>100</v>
      </c>
    </row>
    <row r="54" spans="1:4" x14ac:dyDescent="0.2">
      <c r="A54" s="2" t="s">
        <v>50</v>
      </c>
      <c r="B54" s="14">
        <f>((B51)+(B52))+(B53)</f>
        <v>8125</v>
      </c>
      <c r="C54" s="14">
        <f>((C51)+(C52))+(C53)</f>
        <v>9978.25</v>
      </c>
      <c r="D54" s="16">
        <f>SUM(D51:D53)</f>
        <v>11150</v>
      </c>
    </row>
    <row r="55" spans="1:4" x14ac:dyDescent="0.2">
      <c r="A55" s="2" t="s">
        <v>51</v>
      </c>
      <c r="B55" s="13"/>
      <c r="C55" s="11">
        <f>19096.53</f>
        <v>19096.53</v>
      </c>
      <c r="D55" s="12">
        <v>20000</v>
      </c>
    </row>
    <row r="56" spans="1:4" x14ac:dyDescent="0.2">
      <c r="A56" s="2" t="s">
        <v>52</v>
      </c>
      <c r="B56" s="11">
        <f>7000</f>
        <v>7000</v>
      </c>
      <c r="C56" s="11">
        <f>8869.56</f>
        <v>8869.56</v>
      </c>
      <c r="D56" s="12">
        <v>10000</v>
      </c>
    </row>
    <row r="57" spans="1:4" x14ac:dyDescent="0.2">
      <c r="A57" s="2" t="s">
        <v>53</v>
      </c>
      <c r="B57" s="11">
        <f>8500</f>
        <v>8500</v>
      </c>
      <c r="C57" s="11">
        <f>19750</f>
        <v>19750</v>
      </c>
      <c r="D57" s="12">
        <v>20000</v>
      </c>
    </row>
    <row r="58" spans="1:4" x14ac:dyDescent="0.2">
      <c r="A58" s="2" t="s">
        <v>54</v>
      </c>
      <c r="B58" s="13"/>
      <c r="C58" s="11">
        <f>19999.98</f>
        <v>19999.98</v>
      </c>
      <c r="D58" s="12">
        <v>20000</v>
      </c>
    </row>
    <row r="59" spans="1:4" x14ac:dyDescent="0.2">
      <c r="A59" s="2" t="s">
        <v>55</v>
      </c>
      <c r="B59" s="14">
        <f>((B56)+(B57))+(B58)</f>
        <v>15500</v>
      </c>
      <c r="C59" s="14">
        <f>((C56)+(C57))+(C58)</f>
        <v>48619.539999999994</v>
      </c>
      <c r="D59" s="16">
        <f>SUM(D56:D58)</f>
        <v>50000</v>
      </c>
    </row>
    <row r="60" spans="1:4" x14ac:dyDescent="0.2">
      <c r="A60" s="2" t="s">
        <v>56</v>
      </c>
      <c r="B60" s="11">
        <f>1670</f>
        <v>1670</v>
      </c>
      <c r="C60" s="11">
        <f>75</f>
        <v>75</v>
      </c>
      <c r="D60" s="12">
        <v>100</v>
      </c>
    </row>
    <row r="61" spans="1:4" x14ac:dyDescent="0.2">
      <c r="A61" s="2" t="s">
        <v>57</v>
      </c>
      <c r="B61" s="11">
        <f>2400</f>
        <v>2400</v>
      </c>
      <c r="C61" s="11">
        <f>96.46</f>
        <v>96.46</v>
      </c>
      <c r="D61" s="12">
        <v>100</v>
      </c>
    </row>
    <row r="62" spans="1:4" x14ac:dyDescent="0.2">
      <c r="A62" s="2" t="s">
        <v>58</v>
      </c>
      <c r="B62" s="11">
        <f>12000</f>
        <v>12000</v>
      </c>
      <c r="C62" s="11">
        <f>14009.31</f>
        <v>14009.31</v>
      </c>
      <c r="D62" s="12">
        <v>15000</v>
      </c>
    </row>
    <row r="63" spans="1:4" x14ac:dyDescent="0.2">
      <c r="A63" s="2" t="s">
        <v>59</v>
      </c>
      <c r="B63" s="11">
        <f>6900</f>
        <v>6900</v>
      </c>
      <c r="C63" s="11">
        <f>7866.96</f>
        <v>7866.96</v>
      </c>
      <c r="D63" s="12">
        <v>8250</v>
      </c>
    </row>
    <row r="64" spans="1:4" x14ac:dyDescent="0.2">
      <c r="A64" s="2" t="s">
        <v>60</v>
      </c>
      <c r="B64" s="14">
        <f>(((B60)+(B61))+(B62))+(B63)</f>
        <v>22970</v>
      </c>
      <c r="C64" s="14">
        <f>(((C60)+(C61))+(C62))+(C63)</f>
        <v>22047.73</v>
      </c>
      <c r="D64" s="16">
        <f>SUM(D60:D63)</f>
        <v>23450</v>
      </c>
    </row>
    <row r="65" spans="1:4" x14ac:dyDescent="0.2">
      <c r="A65" s="2" t="s">
        <v>61</v>
      </c>
      <c r="B65" s="11">
        <f>18182</f>
        <v>18182</v>
      </c>
      <c r="C65" s="11">
        <f>13406.15</f>
        <v>13406.15</v>
      </c>
      <c r="D65" s="12">
        <v>9450</v>
      </c>
    </row>
    <row r="66" spans="1:4" x14ac:dyDescent="0.2">
      <c r="A66" s="2" t="s">
        <v>62</v>
      </c>
      <c r="B66" s="11">
        <f>6500</f>
        <v>6500</v>
      </c>
      <c r="C66" s="11">
        <f>14612.07</f>
        <v>14612.07</v>
      </c>
      <c r="D66" s="12">
        <v>16500</v>
      </c>
    </row>
    <row r="67" spans="1:4" x14ac:dyDescent="0.2">
      <c r="A67" s="2" t="s">
        <v>63</v>
      </c>
      <c r="B67" s="11">
        <f>18000</f>
        <v>18000</v>
      </c>
      <c r="C67" s="11">
        <f>66833.87</f>
        <v>66833.87</v>
      </c>
      <c r="D67" s="12">
        <v>80000</v>
      </c>
    </row>
    <row r="68" spans="1:4" x14ac:dyDescent="0.2">
      <c r="A68" s="2" t="s">
        <v>64</v>
      </c>
      <c r="B68" s="13"/>
      <c r="C68" s="11">
        <f>575</f>
        <v>575</v>
      </c>
      <c r="D68" s="12">
        <v>2500</v>
      </c>
    </row>
    <row r="69" spans="1:4" x14ac:dyDescent="0.2">
      <c r="A69" s="2" t="s">
        <v>65</v>
      </c>
      <c r="B69" s="11">
        <f>2200</f>
        <v>2200</v>
      </c>
      <c r="C69" s="13"/>
      <c r="D69" s="12">
        <v>0</v>
      </c>
    </row>
    <row r="70" spans="1:4" x14ac:dyDescent="0.2">
      <c r="A70" s="2" t="s">
        <v>66</v>
      </c>
      <c r="B70" s="13"/>
      <c r="C70" s="11">
        <f>3039.95</f>
        <v>3039.95</v>
      </c>
      <c r="D70" s="12">
        <v>5500</v>
      </c>
    </row>
    <row r="71" spans="1:4" x14ac:dyDescent="0.2">
      <c r="A71" s="2" t="s">
        <v>67</v>
      </c>
      <c r="B71" s="11">
        <f>2400</f>
        <v>2400</v>
      </c>
      <c r="C71" s="11">
        <f>8536.75</f>
        <v>8536.75</v>
      </c>
      <c r="D71" s="12">
        <v>10000</v>
      </c>
    </row>
    <row r="72" spans="1:4" x14ac:dyDescent="0.2">
      <c r="A72" s="2" t="s">
        <v>68</v>
      </c>
      <c r="B72" s="13"/>
      <c r="C72" s="11">
        <f>4499.7</f>
        <v>4499.7</v>
      </c>
      <c r="D72" s="12">
        <v>5000</v>
      </c>
    </row>
    <row r="73" spans="1:4" x14ac:dyDescent="0.2">
      <c r="A73" s="2" t="s">
        <v>69</v>
      </c>
      <c r="B73" s="11">
        <f>3110</f>
        <v>3110</v>
      </c>
      <c r="C73" s="11">
        <f>5649.13</f>
        <v>5649.13</v>
      </c>
      <c r="D73" s="12">
        <v>2500</v>
      </c>
    </row>
    <row r="74" spans="1:4" x14ac:dyDescent="0.2">
      <c r="A74" s="2" t="s">
        <v>70</v>
      </c>
      <c r="B74" s="11">
        <f>22850</f>
        <v>22850</v>
      </c>
      <c r="C74" s="11">
        <f>23363.59</f>
        <v>23363.59</v>
      </c>
      <c r="D74" s="12">
        <v>27500</v>
      </c>
    </row>
    <row r="75" spans="1:4" x14ac:dyDescent="0.2">
      <c r="A75" s="2" t="s">
        <v>71</v>
      </c>
      <c r="B75" s="11">
        <f>3400</f>
        <v>3400</v>
      </c>
      <c r="C75" s="11">
        <f>12161.25</f>
        <v>12161.25</v>
      </c>
      <c r="D75" s="12">
        <v>15000</v>
      </c>
    </row>
    <row r="76" spans="1:4" x14ac:dyDescent="0.2">
      <c r="A76" s="2" t="s">
        <v>72</v>
      </c>
      <c r="B76" s="13"/>
      <c r="C76" s="11">
        <f>4030.72</f>
        <v>4030.72</v>
      </c>
      <c r="D76" s="12">
        <v>5000</v>
      </c>
    </row>
    <row r="77" spans="1:4" x14ac:dyDescent="0.2">
      <c r="A77" s="2" t="s">
        <v>73</v>
      </c>
      <c r="B77" s="14">
        <f>((B74)+(B75))+(B76)</f>
        <v>26250</v>
      </c>
      <c r="C77" s="14">
        <f>((C74)+(C75))+(C76)</f>
        <v>39555.56</v>
      </c>
      <c r="D77" s="16">
        <f>SUM(D74:D76)</f>
        <v>47500</v>
      </c>
    </row>
    <row r="78" spans="1:4" x14ac:dyDescent="0.2">
      <c r="A78" s="2" t="s">
        <v>74</v>
      </c>
      <c r="B78" s="13"/>
      <c r="C78" s="13"/>
      <c r="D78" s="12"/>
    </row>
    <row r="79" spans="1:4" x14ac:dyDescent="0.2">
      <c r="A79" s="2" t="s">
        <v>75</v>
      </c>
      <c r="B79" s="13"/>
      <c r="C79" s="11">
        <f>2944.11</f>
        <v>2944.11</v>
      </c>
      <c r="D79" s="12">
        <v>3000</v>
      </c>
    </row>
    <row r="80" spans="1:4" x14ac:dyDescent="0.2">
      <c r="A80" s="2" t="s">
        <v>76</v>
      </c>
      <c r="B80" s="11">
        <f>320000</f>
        <v>320000</v>
      </c>
      <c r="C80" s="11">
        <f>401546.07</f>
        <v>401546.07</v>
      </c>
      <c r="D80" s="12">
        <v>710000</v>
      </c>
    </row>
    <row r="81" spans="1:4" x14ac:dyDescent="0.2">
      <c r="A81" s="2" t="s">
        <v>77</v>
      </c>
      <c r="B81" s="11">
        <f>2000</f>
        <v>2000</v>
      </c>
      <c r="C81" s="11">
        <f>2100</f>
        <v>2100</v>
      </c>
      <c r="D81" s="12">
        <v>2000</v>
      </c>
    </row>
    <row r="82" spans="1:4" x14ac:dyDescent="0.2">
      <c r="A82" s="2" t="s">
        <v>78</v>
      </c>
      <c r="B82" s="14">
        <f>(((B78)+(B79))+(B80))+(B81)</f>
        <v>322000</v>
      </c>
      <c r="C82" s="14">
        <f>(((C78)+(C79))+(C80))+(C81)</f>
        <v>406590.18</v>
      </c>
      <c r="D82" s="16">
        <f>SUM(D79:D81)</f>
        <v>715000</v>
      </c>
    </row>
    <row r="83" spans="1:4" x14ac:dyDescent="0.2">
      <c r="A83" s="2" t="s">
        <v>79</v>
      </c>
      <c r="B83" s="13"/>
      <c r="C83" s="11">
        <f>267.72</f>
        <v>267.72000000000003</v>
      </c>
      <c r="D83" s="12">
        <v>500</v>
      </c>
    </row>
    <row r="84" spans="1:4" x14ac:dyDescent="0.2">
      <c r="A84" s="2" t="s">
        <v>80</v>
      </c>
      <c r="B84" s="11">
        <f>32000</f>
        <v>32000</v>
      </c>
      <c r="C84" s="11">
        <f>32385.05</f>
        <v>32385.05</v>
      </c>
      <c r="D84" s="12">
        <v>45000</v>
      </c>
    </row>
    <row r="85" spans="1:4" x14ac:dyDescent="0.2">
      <c r="A85" s="2" t="s">
        <v>81</v>
      </c>
      <c r="B85" s="14">
        <f>((((((((((((((((((((((((B36)+(B44))+(B45))+(B46))+(B47))+(B48))+(B49))+(B50))+(B54))+(B55))+(B59))+(B64))+(B65))+(B66))+(B67))+(B68))+(B69))+(B70))+(B71))+(B72))+(B73))+(B77))+(B82))+(B83))+(B84)</f>
        <v>967722</v>
      </c>
      <c r="C85" s="14">
        <f>((((((((((((((((((((((((C36)+(C44))+(C45))+(C46))+(C47))+(C48))+(C49))+(C50))+(C54))+(C55))+(C59))+(C64))+(C65))+(C66))+(C67))+(C68))+(C69))+(C70))+(C71))+(C72))+(C73))+(C77))+(C82))+(C83))+(C84)</f>
        <v>1191937.7699999998</v>
      </c>
      <c r="D85" s="16">
        <f>SUM(D84,D83,D82,D77,D73,D72,D71,D70,D69,D68,D67,D66,D65,D64,D59,D55,D54,D50,D49,D48,D47,D46,D45,D44,D36)</f>
        <v>1583920</v>
      </c>
    </row>
    <row r="86" spans="1:4" x14ac:dyDescent="0.2">
      <c r="A86" s="2" t="s">
        <v>82</v>
      </c>
      <c r="B86" s="14">
        <f>(B34)-(B85)</f>
        <v>48990</v>
      </c>
      <c r="C86" s="14">
        <f>(C34)-(C85)</f>
        <v>-136045.0399999998</v>
      </c>
      <c r="D86" s="16">
        <f>SUM(D34-D85)</f>
        <v>52080</v>
      </c>
    </row>
    <row r="87" spans="1:4" x14ac:dyDescent="0.2">
      <c r="A87" s="2" t="s">
        <v>83</v>
      </c>
      <c r="B87" s="13"/>
      <c r="C87" s="13"/>
      <c r="D87" s="12"/>
    </row>
    <row r="88" spans="1:4" x14ac:dyDescent="0.2">
      <c r="A88" s="2" t="s">
        <v>84</v>
      </c>
      <c r="B88" s="11">
        <f>2000</f>
        <v>2000</v>
      </c>
      <c r="C88" s="11">
        <f>1225.94</f>
        <v>1225.94</v>
      </c>
      <c r="D88" s="12">
        <v>2000</v>
      </c>
    </row>
    <row r="89" spans="1:4" x14ac:dyDescent="0.2">
      <c r="A89" s="2" t="s">
        <v>85</v>
      </c>
      <c r="B89" s="11">
        <f>2000</f>
        <v>2000</v>
      </c>
      <c r="C89" s="11">
        <f>149.9</f>
        <v>149.9</v>
      </c>
      <c r="D89" s="12">
        <v>150</v>
      </c>
    </row>
    <row r="90" spans="1:4" x14ac:dyDescent="0.2">
      <c r="A90" s="2" t="s">
        <v>86</v>
      </c>
      <c r="B90" s="13"/>
      <c r="C90" s="11">
        <f>456.68</f>
        <v>456.68</v>
      </c>
      <c r="D90" s="12">
        <v>450</v>
      </c>
    </row>
    <row r="91" spans="1:4" x14ac:dyDescent="0.2">
      <c r="A91" s="2" t="s">
        <v>87</v>
      </c>
      <c r="B91" s="13"/>
      <c r="C91" s="11">
        <f>72574</f>
        <v>72574</v>
      </c>
      <c r="D91" s="12">
        <v>0</v>
      </c>
    </row>
    <row r="92" spans="1:4" x14ac:dyDescent="0.2">
      <c r="A92" s="2" t="s">
        <v>88</v>
      </c>
      <c r="B92" s="13"/>
      <c r="C92" s="11">
        <f>74211.94</f>
        <v>74211.94</v>
      </c>
      <c r="D92" s="12">
        <v>0</v>
      </c>
    </row>
    <row r="93" spans="1:4" x14ac:dyDescent="0.2">
      <c r="A93" s="2" t="s">
        <v>89</v>
      </c>
      <c r="B93" s="11">
        <f>2800</f>
        <v>2800</v>
      </c>
      <c r="C93" s="11">
        <f>16330.43</f>
        <v>16330.43</v>
      </c>
      <c r="D93" s="12">
        <v>15000</v>
      </c>
    </row>
    <row r="94" spans="1:4" x14ac:dyDescent="0.2">
      <c r="A94" s="2" t="s">
        <v>90</v>
      </c>
      <c r="B94" s="13"/>
      <c r="C94" s="11">
        <f>15592.38</f>
        <v>15592.38</v>
      </c>
      <c r="D94" s="12">
        <v>15000</v>
      </c>
    </row>
    <row r="95" spans="1:4" x14ac:dyDescent="0.2">
      <c r="A95" s="2" t="s">
        <v>91</v>
      </c>
      <c r="B95" s="14">
        <f>((((((B88)+(B89))+(B90))+(B91))+(B92))+(B93))+(B94)</f>
        <v>6800</v>
      </c>
      <c r="C95" s="14">
        <f>((((((C88)+(C89))+(C90))+(C91))+(C92))+(C93))+(C94)</f>
        <v>180541.27000000002</v>
      </c>
      <c r="D95" s="16">
        <f>SUM(D88:D94)</f>
        <v>32600</v>
      </c>
    </row>
    <row r="96" spans="1:4" x14ac:dyDescent="0.2">
      <c r="A96" s="2" t="s">
        <v>92</v>
      </c>
      <c r="B96" s="13"/>
      <c r="C96" s="13"/>
      <c r="D96" s="12"/>
    </row>
    <row r="97" spans="1:4" x14ac:dyDescent="0.2">
      <c r="A97" s="2" t="s">
        <v>93</v>
      </c>
      <c r="B97" s="13"/>
      <c r="C97" s="11">
        <f>260</f>
        <v>260</v>
      </c>
      <c r="D97" s="12">
        <v>250</v>
      </c>
    </row>
    <row r="98" spans="1:4" x14ac:dyDescent="0.2">
      <c r="A98" s="2" t="s">
        <v>94</v>
      </c>
      <c r="B98" s="14">
        <f>B97</f>
        <v>0</v>
      </c>
      <c r="C98" s="14">
        <f>C97</f>
        <v>260</v>
      </c>
      <c r="D98" s="16">
        <f>SUM(D97)</f>
        <v>250</v>
      </c>
    </row>
    <row r="99" spans="1:4" x14ac:dyDescent="0.2">
      <c r="A99" s="2" t="s">
        <v>95</v>
      </c>
      <c r="B99" s="14">
        <f>(B95)-(B98)</f>
        <v>6800</v>
      </c>
      <c r="C99" s="14">
        <f>(C95)-(C98)</f>
        <v>180281.27000000002</v>
      </c>
      <c r="D99" s="16">
        <f>SUM(D95,D98)</f>
        <v>32850</v>
      </c>
    </row>
    <row r="100" spans="1:4" ht="16" thickBot="1" x14ac:dyDescent="0.25">
      <c r="A100" s="2" t="s">
        <v>96</v>
      </c>
      <c r="B100" s="15">
        <f>(B86)+(B99)</f>
        <v>55790</v>
      </c>
      <c r="C100" s="15">
        <f>(C86)+(C99)</f>
        <v>44236.230000000214</v>
      </c>
      <c r="D100" s="17">
        <f>SUM(D86,D99)</f>
        <v>84930</v>
      </c>
    </row>
    <row r="101" spans="1:4" ht="16" thickTop="1" x14ac:dyDescent="0.2">
      <c r="A101" s="2"/>
      <c r="B101" s="8"/>
      <c r="C101" s="8"/>
    </row>
  </sheetData>
  <pageMargins left="0.7" right="0.7" top="0.75" bottom="0.75" header="0.3" footer="0.3"/>
  <pageSetup orientation="portrait" horizontalDpi="1200" verticalDpi="1200" r:id="rId1"/>
  <headerFooter>
    <oddFooter>&amp;L&amp;K00-034Arizona Trail Association&amp;R&amp;K00-03410/12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2022-01-18T23:39:09Z</dcterms:created>
  <dcterms:modified xsi:type="dcterms:W3CDTF">2022-02-28T20:03:00Z</dcterms:modified>
</cp:coreProperties>
</file>